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ml.chartshapes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customProperty5.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480" yWindow="60" windowWidth="14340" windowHeight="8205" activeTab="1"/>
  </bookViews>
  <sheets>
    <sheet name="Title and Instructions" sheetId="7" r:id="rId1"/>
    <sheet name="4-20 mA" sheetId="1" r:id="rId2"/>
    <sheet name="1-5 Vdc" sheetId="3" r:id="rId3"/>
    <sheet name="DV-IDENTITY-0" sheetId="4" state="veryHidden" r:id="rId4"/>
    <sheet name="3-15 PSI" sheetId="5" r:id="rId5"/>
    <sheet name="Units" sheetId="6" r:id="rId6"/>
  </sheets>
  <definedNames>
    <definedName name="_xlnm.Print_Area" localSheetId="2">'1-5 Vdc'!$A$1:$I$33</definedName>
    <definedName name="_xlnm.Print_Area" localSheetId="4">'3-15 PSI'!$A$1:$I$34</definedName>
    <definedName name="_xlnm.Print_Area" localSheetId="1">'4-20 mA'!$A$1:$I$34</definedName>
  </definedNames>
  <calcPr calcId="125725"/>
</workbook>
</file>

<file path=xl/calcChain.xml><?xml version="1.0" encoding="utf-8"?>
<calcChain xmlns="http://schemas.openxmlformats.org/spreadsheetml/2006/main">
  <c r="H4" i="5"/>
  <c r="H5"/>
  <c r="H6"/>
  <c r="H7"/>
  <c r="H3"/>
  <c r="F4"/>
  <c r="F5"/>
  <c r="F6"/>
  <c r="F7"/>
  <c r="F3"/>
  <c r="H4" i="3"/>
  <c r="H5"/>
  <c r="H6"/>
  <c r="H7"/>
  <c r="H3"/>
  <c r="F4"/>
  <c r="F5"/>
  <c r="F6"/>
  <c r="F7"/>
  <c r="F3"/>
  <c r="A22" i="4"/>
  <c r="B22"/>
  <c r="C22"/>
  <c r="A21"/>
  <c r="B21"/>
  <c r="C21"/>
  <c r="D21"/>
  <c r="E21"/>
  <c r="F21"/>
  <c r="A20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BC20"/>
  <c r="BD20"/>
  <c r="BE20"/>
  <c r="BF20"/>
  <c r="BG20"/>
  <c r="BH20"/>
  <c r="BI20"/>
  <c r="BJ20"/>
  <c r="BK20"/>
  <c r="BL20"/>
  <c r="BM20"/>
  <c r="BN20"/>
  <c r="BO20"/>
  <c r="BP20"/>
  <c r="BQ20"/>
  <c r="BR20"/>
  <c r="BS20"/>
  <c r="BT20"/>
  <c r="BU20"/>
  <c r="BV20"/>
  <c r="BW20"/>
  <c r="BX20"/>
  <c r="BY20"/>
  <c r="BZ20"/>
  <c r="CA20"/>
  <c r="CB20"/>
  <c r="CC20"/>
  <c r="CD20"/>
  <c r="CE20"/>
  <c r="CF20"/>
  <c r="CG20"/>
  <c r="CH20"/>
  <c r="CI20"/>
  <c r="CJ20"/>
  <c r="CK20"/>
  <c r="CL20"/>
  <c r="CM20"/>
  <c r="CN20"/>
  <c r="CO20"/>
  <c r="CP20"/>
  <c r="CQ20"/>
  <c r="CR20"/>
  <c r="CS20"/>
  <c r="CT20"/>
  <c r="CU20"/>
  <c r="CV20"/>
  <c r="CW20"/>
  <c r="CX20"/>
  <c r="CY20"/>
  <c r="CZ20"/>
  <c r="DA20"/>
  <c r="DB20"/>
  <c r="DC20"/>
  <c r="DD20"/>
  <c r="DE20"/>
  <c r="DF20"/>
  <c r="DG20"/>
  <c r="DH20"/>
  <c r="DI20"/>
  <c r="DJ20"/>
  <c r="DK20"/>
  <c r="DL20"/>
  <c r="DM20"/>
  <c r="DN20"/>
  <c r="DO20"/>
  <c r="DP20"/>
  <c r="DQ20"/>
  <c r="A19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BC19"/>
  <c r="BD19"/>
  <c r="BE19"/>
  <c r="BF19"/>
  <c r="BG19"/>
  <c r="BH19"/>
  <c r="BI19"/>
  <c r="BJ19"/>
  <c r="BK19"/>
  <c r="BL19"/>
  <c r="BM19"/>
  <c r="BN19"/>
  <c r="BO19"/>
  <c r="BP19"/>
  <c r="BQ19"/>
  <c r="BR19"/>
  <c r="BS19"/>
  <c r="BT19"/>
  <c r="A18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A17"/>
  <c r="H4" i="1"/>
  <c r="H5"/>
  <c r="H6"/>
  <c r="H7"/>
  <c r="H3"/>
  <c r="F7"/>
  <c r="F4"/>
  <c r="F5"/>
  <c r="F6"/>
  <c r="F3"/>
  <c r="A16" i="4"/>
  <c r="B16"/>
  <c r="C16"/>
  <c r="D16"/>
  <c r="E16"/>
  <c r="F16"/>
  <c r="G16"/>
  <c r="H16"/>
  <c r="I16"/>
  <c r="J16"/>
  <c r="K16"/>
  <c r="L16"/>
  <c r="M16"/>
  <c r="N16"/>
  <c r="O16"/>
  <c r="P16"/>
  <c r="Q16"/>
  <c r="R16"/>
  <c r="S16"/>
  <c r="A15"/>
  <c r="B15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AW15"/>
  <c r="AX15"/>
  <c r="AY15"/>
  <c r="AZ15"/>
  <c r="BA15"/>
  <c r="BB15"/>
  <c r="BC15"/>
  <c r="BD15"/>
  <c r="BE15"/>
  <c r="BF15"/>
  <c r="BG15"/>
  <c r="BH15"/>
  <c r="BI15"/>
  <c r="BJ15"/>
  <c r="BK15"/>
  <c r="BL15"/>
  <c r="BM15"/>
  <c r="BN15"/>
  <c r="BO15"/>
  <c r="BP15"/>
  <c r="BQ15"/>
  <c r="BR15"/>
  <c r="BS15"/>
  <c r="BT15"/>
  <c r="BU15"/>
  <c r="BV15"/>
  <c r="BW15"/>
  <c r="BX15"/>
  <c r="BY15"/>
  <c r="BZ15"/>
  <c r="CA15"/>
  <c r="CB15"/>
  <c r="CC15"/>
  <c r="CD15"/>
  <c r="CE15"/>
  <c r="CF15"/>
  <c r="CG15"/>
  <c r="CH15"/>
  <c r="CI15"/>
  <c r="CJ15"/>
  <c r="CK15"/>
  <c r="CL15"/>
  <c r="CM15"/>
  <c r="CN15"/>
  <c r="CO15"/>
  <c r="CP15"/>
  <c r="CQ15"/>
  <c r="CR15"/>
  <c r="CS15"/>
  <c r="CT15"/>
  <c r="CU15"/>
  <c r="CV15"/>
  <c r="CW15"/>
  <c r="CX15"/>
  <c r="CY15"/>
  <c r="CZ15"/>
  <c r="DA15"/>
  <c r="DB15"/>
  <c r="DC15"/>
  <c r="DD15"/>
  <c r="DE15"/>
  <c r="DF15"/>
  <c r="DG15"/>
  <c r="DH15"/>
  <c r="DI15"/>
  <c r="DJ15"/>
  <c r="DK15"/>
  <c r="DL15"/>
  <c r="DM15"/>
  <c r="DN15"/>
  <c r="DO15"/>
  <c r="DP15"/>
  <c r="DQ15"/>
  <c r="DR15"/>
  <c r="DS15"/>
  <c r="DT15"/>
  <c r="DU15"/>
  <c r="DV15"/>
  <c r="DW15"/>
  <c r="DX15"/>
  <c r="DY15"/>
  <c r="DZ15"/>
  <c r="EA15"/>
  <c r="EB15"/>
  <c r="EC15"/>
  <c r="ED15"/>
  <c r="EE15"/>
  <c r="EF15"/>
  <c r="EG15"/>
  <c r="EH15"/>
  <c r="EI15"/>
  <c r="EJ15"/>
  <c r="EK15"/>
  <c r="EL15"/>
  <c r="EM15"/>
  <c r="EN15"/>
  <c r="EO15"/>
  <c r="EP15"/>
  <c r="EQ15"/>
  <c r="ER15"/>
  <c r="ES15"/>
  <c r="ET15"/>
  <c r="EU15"/>
  <c r="EV15"/>
  <c r="EW15"/>
  <c r="EX15"/>
  <c r="EY15"/>
  <c r="EZ15"/>
  <c r="FA15"/>
  <c r="FB15"/>
  <c r="FC15"/>
  <c r="FD15"/>
  <c r="FE15"/>
  <c r="FF15"/>
  <c r="FG15"/>
  <c r="FH15"/>
  <c r="FI15"/>
  <c r="FJ15"/>
  <c r="FK15"/>
  <c r="FL15"/>
  <c r="FM15"/>
  <c r="FN15"/>
  <c r="FO15"/>
  <c r="FP15"/>
  <c r="FQ15"/>
  <c r="FR15"/>
  <c r="FS15"/>
  <c r="FT15"/>
  <c r="FU15"/>
  <c r="FV15"/>
  <c r="FW15"/>
  <c r="FX15"/>
  <c r="FY15"/>
  <c r="FZ15"/>
  <c r="GA15"/>
  <c r="GB15"/>
  <c r="GC15"/>
  <c r="GD15"/>
  <c r="GE15"/>
  <c r="GF15"/>
  <c r="GG15"/>
  <c r="GH15"/>
  <c r="GI15"/>
  <c r="GJ15"/>
  <c r="GK15"/>
  <c r="GL15"/>
  <c r="GM15"/>
  <c r="GN15"/>
  <c r="GO15"/>
  <c r="GP15"/>
  <c r="GQ15"/>
  <c r="GR15"/>
  <c r="GS15"/>
  <c r="GT15"/>
  <c r="GU15"/>
  <c r="GV15"/>
  <c r="GW15"/>
  <c r="GX15"/>
  <c r="GY15"/>
  <c r="GZ15"/>
  <c r="HA15"/>
  <c r="HB15"/>
  <c r="HC15"/>
  <c r="HD15"/>
  <c r="HE15"/>
  <c r="HF15"/>
  <c r="HG15"/>
  <c r="HH15"/>
  <c r="HI15"/>
  <c r="HJ15"/>
  <c r="HK15"/>
  <c r="HL15"/>
  <c r="HM15"/>
  <c r="HN15"/>
  <c r="HO15"/>
  <c r="HP15"/>
  <c r="HQ15"/>
  <c r="HR15"/>
  <c r="HS15"/>
  <c r="HT15"/>
  <c r="HU15"/>
  <c r="HV15"/>
  <c r="HW15"/>
  <c r="HX15"/>
  <c r="HY15"/>
  <c r="HZ15"/>
  <c r="IA15"/>
  <c r="IB15"/>
  <c r="IC15"/>
  <c r="ID15"/>
  <c r="IE15"/>
  <c r="IF15"/>
  <c r="IG15"/>
  <c r="IH15"/>
  <c r="II15"/>
  <c r="IJ15"/>
  <c r="IK15"/>
  <c r="IL15"/>
  <c r="IM15"/>
  <c r="IN15"/>
  <c r="IO15"/>
  <c r="IP15"/>
  <c r="IQ15"/>
  <c r="IR15"/>
  <c r="IS15"/>
  <c r="IT15"/>
  <c r="IU15"/>
  <c r="IV15"/>
  <c r="A14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BO14"/>
  <c r="BP14"/>
  <c r="BQ14"/>
  <c r="BR14"/>
  <c r="BS14"/>
  <c r="BT14"/>
  <c r="BU14"/>
  <c r="BV14"/>
  <c r="BW14"/>
  <c r="BX14"/>
  <c r="BY14"/>
  <c r="BZ14"/>
  <c r="CA14"/>
  <c r="CB14"/>
  <c r="CC14"/>
  <c r="CD14"/>
  <c r="CE14"/>
  <c r="CF14"/>
  <c r="CG14"/>
  <c r="CH14"/>
  <c r="CI14"/>
  <c r="CJ14"/>
  <c r="CK14"/>
  <c r="CL14"/>
  <c r="CM14"/>
  <c r="CN14"/>
  <c r="CO14"/>
  <c r="CP14"/>
  <c r="CQ14"/>
  <c r="CR14"/>
  <c r="CS14"/>
  <c r="CT14"/>
  <c r="CU14"/>
  <c r="CV14"/>
  <c r="CW14"/>
  <c r="CX14"/>
  <c r="CY14"/>
  <c r="CZ14"/>
  <c r="DA14"/>
  <c r="DB14"/>
  <c r="DC14"/>
  <c r="DD14"/>
  <c r="DE14"/>
  <c r="DF14"/>
  <c r="DG14"/>
  <c r="DH14"/>
  <c r="DI14"/>
  <c r="DJ14"/>
  <c r="DK14"/>
  <c r="DL14"/>
  <c r="DM14"/>
  <c r="DN14"/>
  <c r="DO14"/>
  <c r="DP14"/>
  <c r="DQ14"/>
  <c r="DR14"/>
  <c r="DS14"/>
  <c r="DT14"/>
  <c r="DU14"/>
  <c r="DV14"/>
  <c r="DW14"/>
  <c r="DX14"/>
  <c r="DY14"/>
  <c r="DZ14"/>
  <c r="EA14"/>
  <c r="EB14"/>
  <c r="EC14"/>
  <c r="ED14"/>
  <c r="EE14"/>
  <c r="EF14"/>
  <c r="EG14"/>
  <c r="EH14"/>
  <c r="EI14"/>
  <c r="EJ14"/>
  <c r="EK14"/>
  <c r="EL14"/>
  <c r="EM14"/>
  <c r="EN14"/>
  <c r="EO14"/>
  <c r="EP14"/>
  <c r="EQ14"/>
  <c r="ER14"/>
  <c r="ES14"/>
  <c r="ET14"/>
  <c r="EU14"/>
  <c r="EV14"/>
  <c r="EW14"/>
  <c r="EX14"/>
  <c r="EY14"/>
  <c r="EZ14"/>
  <c r="FA14"/>
  <c r="FB14"/>
  <c r="FC14"/>
  <c r="FD14"/>
  <c r="FE14"/>
  <c r="FF14"/>
  <c r="FG14"/>
  <c r="FH14"/>
  <c r="FI14"/>
  <c r="FJ14"/>
  <c r="FK14"/>
  <c r="FL14"/>
  <c r="FM14"/>
  <c r="FN14"/>
  <c r="FO14"/>
  <c r="FP14"/>
  <c r="FQ14"/>
  <c r="FR14"/>
  <c r="FS14"/>
  <c r="FT14"/>
  <c r="FU14"/>
  <c r="FV14"/>
  <c r="FW14"/>
  <c r="FX14"/>
  <c r="FY14"/>
  <c r="FZ14"/>
  <c r="GA14"/>
  <c r="GB14"/>
  <c r="GC14"/>
  <c r="GD14"/>
  <c r="GE14"/>
  <c r="GF14"/>
  <c r="GG14"/>
  <c r="GH14"/>
  <c r="GI14"/>
  <c r="GJ14"/>
  <c r="GK14"/>
  <c r="GL14"/>
  <c r="GM14"/>
  <c r="GN14"/>
  <c r="GO14"/>
  <c r="GP14"/>
  <c r="GQ14"/>
  <c r="GR14"/>
  <c r="GS14"/>
  <c r="GT14"/>
  <c r="GU14"/>
  <c r="GV14"/>
  <c r="GW14"/>
  <c r="GX14"/>
  <c r="GY14"/>
  <c r="GZ14"/>
  <c r="HA14"/>
  <c r="HB14"/>
  <c r="HC14"/>
  <c r="HD14"/>
  <c r="HE14"/>
  <c r="HF14"/>
  <c r="HG14"/>
  <c r="HH14"/>
  <c r="HI14"/>
  <c r="HJ14"/>
  <c r="HK14"/>
  <c r="HL14"/>
  <c r="HM14"/>
  <c r="HN14"/>
  <c r="HO14"/>
  <c r="HP14"/>
  <c r="HQ14"/>
  <c r="HR14"/>
  <c r="HS14"/>
  <c r="HT14"/>
  <c r="HU14"/>
  <c r="HV14"/>
  <c r="HW14"/>
  <c r="HX14"/>
  <c r="HY14"/>
  <c r="HZ14"/>
  <c r="IA14"/>
  <c r="IB14"/>
  <c r="IC14"/>
  <c r="ID14"/>
  <c r="IE14"/>
  <c r="IF14"/>
  <c r="IG14"/>
  <c r="IH14"/>
  <c r="II14"/>
  <c r="IJ14"/>
  <c r="IK14"/>
  <c r="IL14"/>
  <c r="IM14"/>
  <c r="IN14"/>
  <c r="IO14"/>
  <c r="IP14"/>
  <c r="IQ14"/>
  <c r="IR14"/>
  <c r="IS14"/>
  <c r="IT14"/>
  <c r="IU14"/>
  <c r="IV14"/>
  <c r="A13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BT13"/>
  <c r="BU13"/>
  <c r="BV13"/>
  <c r="BW13"/>
  <c r="BX13"/>
  <c r="BY13"/>
  <c r="BZ13"/>
  <c r="CA13"/>
  <c r="CB13"/>
  <c r="CC13"/>
  <c r="CD13"/>
  <c r="CE13"/>
  <c r="CF13"/>
  <c r="CG13"/>
  <c r="CH13"/>
  <c r="CI13"/>
  <c r="CJ13"/>
  <c r="CK13"/>
  <c r="CL13"/>
  <c r="CM13"/>
  <c r="CN13"/>
  <c r="CO13"/>
  <c r="CP13"/>
  <c r="CQ13"/>
  <c r="CR13"/>
  <c r="CS13"/>
  <c r="CT13"/>
  <c r="CU13"/>
  <c r="CV13"/>
  <c r="CW13"/>
  <c r="CX13"/>
  <c r="CY13"/>
  <c r="CZ13"/>
  <c r="DA13"/>
  <c r="DB13"/>
  <c r="DC13"/>
  <c r="DD13"/>
  <c r="DE13"/>
  <c r="DF13"/>
  <c r="DG13"/>
  <c r="DH13"/>
  <c r="DI13"/>
  <c r="DJ13"/>
  <c r="DK13"/>
  <c r="DL13"/>
  <c r="DM13"/>
  <c r="DN13"/>
  <c r="DO13"/>
  <c r="DP13"/>
  <c r="DQ13"/>
  <c r="DR13"/>
  <c r="DS13"/>
  <c r="DT13"/>
  <c r="DU13"/>
  <c r="DV13"/>
  <c r="DW13"/>
  <c r="DX13"/>
  <c r="DY13"/>
  <c r="DZ13"/>
  <c r="EA13"/>
  <c r="EB13"/>
  <c r="EC13"/>
  <c r="ED13"/>
  <c r="EE13"/>
  <c r="EF13"/>
  <c r="EG13"/>
  <c r="EH13"/>
  <c r="EI13"/>
  <c r="EJ13"/>
  <c r="EK13"/>
  <c r="EL13"/>
  <c r="EM13"/>
  <c r="EN13"/>
  <c r="EO13"/>
  <c r="EP13"/>
  <c r="EQ13"/>
  <c r="ER13"/>
  <c r="ES13"/>
  <c r="ET13"/>
  <c r="EU13"/>
  <c r="EV13"/>
  <c r="EW13"/>
  <c r="EX13"/>
  <c r="EY13"/>
  <c r="EZ13"/>
  <c r="FA13"/>
  <c r="FB13"/>
  <c r="FC13"/>
  <c r="FD13"/>
  <c r="FE13"/>
  <c r="FF13"/>
  <c r="FG13"/>
  <c r="FH13"/>
  <c r="FI13"/>
  <c r="FJ13"/>
  <c r="FK13"/>
  <c r="FL13"/>
  <c r="FM13"/>
  <c r="FN13"/>
  <c r="FO13"/>
  <c r="FP13"/>
  <c r="FQ13"/>
  <c r="FR13"/>
  <c r="FS13"/>
  <c r="FT13"/>
  <c r="FU13"/>
  <c r="FV13"/>
  <c r="FW13"/>
  <c r="FX13"/>
  <c r="FY13"/>
  <c r="FZ13"/>
  <c r="GA13"/>
  <c r="GB13"/>
  <c r="GC13"/>
  <c r="GD13"/>
  <c r="GE13"/>
  <c r="GF13"/>
  <c r="GG13"/>
  <c r="GH13"/>
  <c r="GI13"/>
  <c r="GJ13"/>
  <c r="GK13"/>
  <c r="GL13"/>
  <c r="GM13"/>
  <c r="GN13"/>
  <c r="GO13"/>
  <c r="GP13"/>
  <c r="GQ13"/>
  <c r="GR13"/>
  <c r="GS13"/>
  <c r="GT13"/>
  <c r="GU13"/>
  <c r="GV13"/>
  <c r="GW13"/>
  <c r="GX13"/>
  <c r="GY13"/>
  <c r="GZ13"/>
  <c r="HA13"/>
  <c r="HB13"/>
  <c r="HC13"/>
  <c r="HD13"/>
  <c r="HE13"/>
  <c r="HF13"/>
  <c r="HG13"/>
  <c r="HH13"/>
  <c r="HI13"/>
  <c r="HJ13"/>
  <c r="HK13"/>
  <c r="HL13"/>
  <c r="HM13"/>
  <c r="HN13"/>
  <c r="HO13"/>
  <c r="HP13"/>
  <c r="HQ13"/>
  <c r="HR13"/>
  <c r="HS13"/>
  <c r="HT13"/>
  <c r="HU13"/>
  <c r="HV13"/>
  <c r="HW13"/>
  <c r="HX13"/>
  <c r="HY13"/>
  <c r="HZ13"/>
  <c r="IA13"/>
  <c r="IB13"/>
  <c r="IC13"/>
  <c r="ID13"/>
  <c r="IE13"/>
  <c r="IF13"/>
  <c r="IG13"/>
  <c r="IH13"/>
  <c r="II13"/>
  <c r="IJ13"/>
  <c r="IK13"/>
  <c r="IL13"/>
  <c r="IM13"/>
  <c r="IN13"/>
  <c r="IO13"/>
  <c r="IP13"/>
  <c r="IQ13"/>
  <c r="IR13"/>
  <c r="IS13"/>
  <c r="IT13"/>
  <c r="IU13"/>
  <c r="IV13"/>
  <c r="C6" i="5"/>
  <c r="C5" s="1"/>
  <c r="C4" s="1"/>
  <c r="C6" i="3"/>
  <c r="C5" s="1"/>
  <c r="C4" s="1"/>
  <c r="A12" i="4"/>
  <c r="B12"/>
  <c r="C12"/>
  <c r="D12"/>
  <c r="E12"/>
  <c r="F12"/>
  <c r="G12"/>
  <c r="H12"/>
  <c r="I12"/>
  <c r="J12"/>
  <c r="K12"/>
  <c r="L12"/>
  <c r="M12"/>
  <c r="A11"/>
  <c r="B11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AZ11"/>
  <c r="BA11"/>
  <c r="BB11"/>
  <c r="BC11"/>
  <c r="BD11"/>
  <c r="BE11"/>
  <c r="BF11"/>
  <c r="BG11"/>
  <c r="BH11"/>
  <c r="BI11"/>
  <c r="BJ11"/>
  <c r="BK11"/>
  <c r="BL11"/>
  <c r="BM11"/>
  <c r="A10"/>
  <c r="A8"/>
  <c r="B8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A7"/>
  <c r="B7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A6"/>
  <c r="B6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AZ6"/>
  <c r="BA6"/>
  <c r="BB6"/>
  <c r="BC6"/>
  <c r="BD6"/>
  <c r="BE6"/>
  <c r="BF6"/>
  <c r="BG6"/>
  <c r="BH6"/>
  <c r="BI6"/>
  <c r="BJ6"/>
  <c r="BK6"/>
  <c r="BL6"/>
  <c r="BM6"/>
  <c r="BN6"/>
  <c r="BO6"/>
  <c r="BP6"/>
  <c r="BQ6"/>
  <c r="BR6"/>
  <c r="BS6"/>
  <c r="BT6"/>
  <c r="BU6"/>
  <c r="BV6"/>
  <c r="BW6"/>
  <c r="BX6"/>
  <c r="BY6"/>
  <c r="BZ6"/>
  <c r="CA6"/>
  <c r="CB6"/>
  <c r="CC6"/>
  <c r="CD6"/>
  <c r="CE6"/>
  <c r="CF6"/>
  <c r="CG6"/>
  <c r="CH6"/>
  <c r="CI6"/>
  <c r="CJ6"/>
  <c r="CK6"/>
  <c r="CL6"/>
  <c r="CM6"/>
  <c r="CN6"/>
  <c r="CO6"/>
  <c r="CP6"/>
  <c r="CQ6"/>
  <c r="CR6"/>
  <c r="CS6"/>
  <c r="CT6"/>
  <c r="CU6"/>
  <c r="CV6"/>
  <c r="CW6"/>
  <c r="CX6"/>
  <c r="CY6"/>
  <c r="CZ6"/>
  <c r="DA6"/>
  <c r="DB6"/>
  <c r="DC6"/>
  <c r="DD6"/>
  <c r="DE6"/>
  <c r="DF6"/>
  <c r="DG6"/>
  <c r="DH6"/>
  <c r="DI6"/>
  <c r="DJ6"/>
  <c r="DK6"/>
  <c r="DL6"/>
  <c r="DM6"/>
  <c r="DN6"/>
  <c r="DO6"/>
  <c r="DP6"/>
  <c r="DQ6"/>
  <c r="DR6"/>
  <c r="DS6"/>
  <c r="DT6"/>
  <c r="DU6"/>
  <c r="DV6"/>
  <c r="DW6"/>
  <c r="DX6"/>
  <c r="DY6"/>
  <c r="DZ6"/>
  <c r="EA6"/>
  <c r="EB6"/>
  <c r="EC6"/>
  <c r="ED6"/>
  <c r="EE6"/>
  <c r="EF6"/>
  <c r="EG6"/>
  <c r="EH6"/>
  <c r="EI6"/>
  <c r="EJ6"/>
  <c r="EK6"/>
  <c r="EL6"/>
  <c r="EM6"/>
  <c r="EN6"/>
  <c r="EO6"/>
  <c r="EP6"/>
  <c r="EQ6"/>
  <c r="ER6"/>
  <c r="ES6"/>
  <c r="ET6"/>
  <c r="EU6"/>
  <c r="EV6"/>
  <c r="EW6"/>
  <c r="EX6"/>
  <c r="EY6"/>
  <c r="EZ6"/>
  <c r="FA6"/>
  <c r="FB6"/>
  <c r="FC6"/>
  <c r="FD6"/>
  <c r="FE6"/>
  <c r="FF6"/>
  <c r="FG6"/>
  <c r="FH6"/>
  <c r="FI6"/>
  <c r="FJ6"/>
  <c r="FK6"/>
  <c r="FL6"/>
  <c r="FM6"/>
  <c r="FN6"/>
  <c r="FO6"/>
  <c r="FP6"/>
  <c r="FQ6"/>
  <c r="FR6"/>
  <c r="FS6"/>
  <c r="FT6"/>
  <c r="FU6"/>
  <c r="FV6"/>
  <c r="FW6"/>
  <c r="FX6"/>
  <c r="FY6"/>
  <c r="FZ6"/>
  <c r="GA6"/>
  <c r="GB6"/>
  <c r="GC6"/>
  <c r="GD6"/>
  <c r="GE6"/>
  <c r="GF6"/>
  <c r="GG6"/>
  <c r="GH6"/>
  <c r="GI6"/>
  <c r="GJ6"/>
  <c r="GK6"/>
  <c r="GL6"/>
  <c r="GM6"/>
  <c r="GN6"/>
  <c r="GO6"/>
  <c r="GP6"/>
  <c r="GQ6"/>
  <c r="GR6"/>
  <c r="GS6"/>
  <c r="GT6"/>
  <c r="GU6"/>
  <c r="GV6"/>
  <c r="GW6"/>
  <c r="GX6"/>
  <c r="GY6"/>
  <c r="HB6"/>
  <c r="HC6"/>
  <c r="HD6"/>
  <c r="A5"/>
  <c r="B5"/>
  <c r="C5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AV5"/>
  <c r="AW5"/>
  <c r="AX5"/>
  <c r="AY5"/>
  <c r="AZ5"/>
  <c r="BA5"/>
  <c r="BB5"/>
  <c r="BC5"/>
  <c r="BD5"/>
  <c r="BE5"/>
  <c r="BF5"/>
  <c r="BG5"/>
  <c r="BH5"/>
  <c r="BI5"/>
  <c r="BJ5"/>
  <c r="BK5"/>
  <c r="BL5"/>
  <c r="BM5"/>
  <c r="BN5"/>
  <c r="BO5"/>
  <c r="BP5"/>
  <c r="BQ5"/>
  <c r="BR5"/>
  <c r="BS5"/>
  <c r="BT5"/>
  <c r="BU5"/>
  <c r="BV5"/>
  <c r="BW5"/>
  <c r="BX5"/>
  <c r="BY5"/>
  <c r="BZ5"/>
  <c r="CA5"/>
  <c r="CB5"/>
  <c r="CC5"/>
  <c r="CD5"/>
  <c r="CE5"/>
  <c r="CF5"/>
  <c r="CG5"/>
  <c r="CH5"/>
  <c r="CI5"/>
  <c r="CJ5"/>
  <c r="CK5"/>
  <c r="CL5"/>
  <c r="CM5"/>
  <c r="CN5"/>
  <c r="CO5"/>
  <c r="CP5"/>
  <c r="CQ5"/>
  <c r="CR5"/>
  <c r="CS5"/>
  <c r="CT5"/>
  <c r="CU5"/>
  <c r="CV5"/>
  <c r="CW5"/>
  <c r="CX5"/>
  <c r="CY5"/>
  <c r="CZ5"/>
  <c r="DA5"/>
  <c r="DB5"/>
  <c r="DC5"/>
  <c r="DD5"/>
  <c r="DE5"/>
  <c r="DF5"/>
  <c r="DG5"/>
  <c r="DH5"/>
  <c r="DI5"/>
  <c r="DJ5"/>
  <c r="DK5"/>
  <c r="DL5"/>
  <c r="DM5"/>
  <c r="DN5"/>
  <c r="DO5"/>
  <c r="DP5"/>
  <c r="DQ5"/>
  <c r="DR5"/>
  <c r="DS5"/>
  <c r="DT5"/>
  <c r="DU5"/>
  <c r="DV5"/>
  <c r="DW5"/>
  <c r="DX5"/>
  <c r="DY5"/>
  <c r="DZ5"/>
  <c r="EA5"/>
  <c r="EB5"/>
  <c r="EC5"/>
  <c r="ED5"/>
  <c r="EE5"/>
  <c r="EF5"/>
  <c r="EG5"/>
  <c r="EH5"/>
  <c r="EI5"/>
  <c r="EJ5"/>
  <c r="EK5"/>
  <c r="EL5"/>
  <c r="EM5"/>
  <c r="EN5"/>
  <c r="EO5"/>
  <c r="EP5"/>
  <c r="EQ5"/>
  <c r="ER5"/>
  <c r="ES5"/>
  <c r="ET5"/>
  <c r="EU5"/>
  <c r="EV5"/>
  <c r="EW5"/>
  <c r="EX5"/>
  <c r="EY5"/>
  <c r="EZ5"/>
  <c r="FA5"/>
  <c r="FB5"/>
  <c r="FC5"/>
  <c r="FD5"/>
  <c r="FE5"/>
  <c r="FF5"/>
  <c r="FG5"/>
  <c r="FH5"/>
  <c r="FI5"/>
  <c r="FJ5"/>
  <c r="FK5"/>
  <c r="FL5"/>
  <c r="FM5"/>
  <c r="FN5"/>
  <c r="FO5"/>
  <c r="FP5"/>
  <c r="FQ5"/>
  <c r="FR5"/>
  <c r="FS5"/>
  <c r="FT5"/>
  <c r="FU5"/>
  <c r="FV5"/>
  <c r="FW5"/>
  <c r="FX5"/>
  <c r="FY5"/>
  <c r="FZ5"/>
  <c r="GA5"/>
  <c r="GB5"/>
  <c r="GC5"/>
  <c r="GD5"/>
  <c r="GE5"/>
  <c r="GF5"/>
  <c r="GG5"/>
  <c r="GH5"/>
  <c r="GI5"/>
  <c r="GJ5"/>
  <c r="GK5"/>
  <c r="GL5"/>
  <c r="GM5"/>
  <c r="GN5"/>
  <c r="GO5"/>
  <c r="GP5"/>
  <c r="GQ5"/>
  <c r="GR5"/>
  <c r="GS5"/>
  <c r="GT5"/>
  <c r="GU5"/>
  <c r="GV5"/>
  <c r="GW5"/>
  <c r="GX5"/>
  <c r="GY5"/>
  <c r="GZ5"/>
  <c r="HA5"/>
  <c r="HB5"/>
  <c r="HC5"/>
  <c r="HD5"/>
  <c r="A4"/>
  <c r="B4"/>
  <c r="C4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N4"/>
  <c r="AO4"/>
  <c r="AP4"/>
  <c r="AQ4"/>
  <c r="AR4"/>
  <c r="AS4"/>
  <c r="AT4"/>
  <c r="AU4"/>
  <c r="AV4"/>
  <c r="AW4"/>
  <c r="AX4"/>
  <c r="AY4"/>
  <c r="AZ4"/>
  <c r="BA4"/>
  <c r="BB4"/>
  <c r="BC4"/>
  <c r="BD4"/>
  <c r="BE4"/>
  <c r="BF4"/>
  <c r="BG4"/>
  <c r="BH4"/>
  <c r="BI4"/>
  <c r="BJ4"/>
  <c r="BK4"/>
  <c r="BL4"/>
  <c r="BM4"/>
  <c r="BN4"/>
  <c r="BO4"/>
  <c r="BP4"/>
  <c r="BQ4"/>
  <c r="BR4"/>
  <c r="BS4"/>
  <c r="BT4"/>
  <c r="BU4"/>
  <c r="BV4"/>
  <c r="BW4"/>
  <c r="BX4"/>
  <c r="BY4"/>
  <c r="BZ4"/>
  <c r="CA4"/>
  <c r="CB4"/>
  <c r="CC4"/>
  <c r="CD4"/>
  <c r="CE4"/>
  <c r="CF4"/>
  <c r="CG4"/>
  <c r="CH4"/>
  <c r="CI4"/>
  <c r="CJ4"/>
  <c r="CK4"/>
  <c r="CL4"/>
  <c r="CM4"/>
  <c r="CN4"/>
  <c r="CO4"/>
  <c r="CP4"/>
  <c r="CQ4"/>
  <c r="CR4"/>
  <c r="CS4"/>
  <c r="CT4"/>
  <c r="CU4"/>
  <c r="CV4"/>
  <c r="CW4"/>
  <c r="CX4"/>
  <c r="CY4"/>
  <c r="CZ4"/>
  <c r="DA4"/>
  <c r="DB4"/>
  <c r="DC4"/>
  <c r="DD4"/>
  <c r="DE4"/>
  <c r="DF4"/>
  <c r="DG4"/>
  <c r="DH4"/>
  <c r="DI4"/>
  <c r="DJ4"/>
  <c r="DK4"/>
  <c r="DL4"/>
  <c r="DM4"/>
  <c r="DN4"/>
  <c r="DO4"/>
  <c r="DP4"/>
  <c r="DQ4"/>
  <c r="DR4"/>
  <c r="DS4"/>
  <c r="DT4"/>
  <c r="DU4"/>
  <c r="DV4"/>
  <c r="DW4"/>
  <c r="DX4"/>
  <c r="DY4"/>
  <c r="DZ4"/>
  <c r="EA4"/>
  <c r="EB4"/>
  <c r="EC4"/>
  <c r="ED4"/>
  <c r="EE4"/>
  <c r="EF4"/>
  <c r="EG4"/>
  <c r="EH4"/>
  <c r="EI4"/>
  <c r="EJ4"/>
  <c r="EK4"/>
  <c r="EL4"/>
  <c r="EM4"/>
  <c r="EN4"/>
  <c r="EO4"/>
  <c r="EP4"/>
  <c r="EQ4"/>
  <c r="ER4"/>
  <c r="ES4"/>
  <c r="ET4"/>
  <c r="EU4"/>
  <c r="EV4"/>
  <c r="EW4"/>
  <c r="EX4"/>
  <c r="EY4"/>
  <c r="EZ4"/>
  <c r="FA4"/>
  <c r="FB4"/>
  <c r="FC4"/>
  <c r="FD4"/>
  <c r="FE4"/>
  <c r="FF4"/>
  <c r="FG4"/>
  <c r="FH4"/>
  <c r="FI4"/>
  <c r="FJ4"/>
  <c r="FK4"/>
  <c r="FL4"/>
  <c r="FM4"/>
  <c r="FN4"/>
  <c r="FO4"/>
  <c r="FP4"/>
  <c r="FQ4"/>
  <c r="FR4"/>
  <c r="FS4"/>
  <c r="FT4"/>
  <c r="FU4"/>
  <c r="FV4"/>
  <c r="FW4"/>
  <c r="FX4"/>
  <c r="FY4"/>
  <c r="FZ4"/>
  <c r="GA4"/>
  <c r="GB4"/>
  <c r="GC4"/>
  <c r="GD4"/>
  <c r="GE4"/>
  <c r="GF4"/>
  <c r="GG4"/>
  <c r="GH4"/>
  <c r="GI4"/>
  <c r="GJ4"/>
  <c r="GK4"/>
  <c r="GL4"/>
  <c r="GM4"/>
  <c r="GN4"/>
  <c r="GO4"/>
  <c r="GP4"/>
  <c r="GQ4"/>
  <c r="GR4"/>
  <c r="GS4"/>
  <c r="GT4"/>
  <c r="GU4"/>
  <c r="GV4"/>
  <c r="GW4"/>
  <c r="GX4"/>
  <c r="GY4"/>
  <c r="GZ4"/>
  <c r="HA4"/>
  <c r="HB4"/>
  <c r="HC4"/>
  <c r="HD4"/>
  <c r="HE4"/>
  <c r="HF4"/>
  <c r="HG4"/>
  <c r="HH4"/>
  <c r="HI4"/>
  <c r="HJ4"/>
  <c r="HK4"/>
  <c r="HL4"/>
  <c r="HM4"/>
  <c r="HN4"/>
  <c r="HO4"/>
  <c r="HP4"/>
  <c r="HQ4"/>
  <c r="HR4"/>
  <c r="HS4"/>
  <c r="HT4"/>
  <c r="HU4"/>
  <c r="HV4"/>
  <c r="HW4"/>
  <c r="HX4"/>
  <c r="HY4"/>
  <c r="HZ4"/>
  <c r="IA4"/>
  <c r="IB4"/>
  <c r="IC4"/>
  <c r="ID4"/>
  <c r="IE4"/>
  <c r="IF4"/>
  <c r="IG4"/>
  <c r="IH4"/>
  <c r="II4"/>
  <c r="IJ4"/>
  <c r="IK4"/>
  <c r="IL4"/>
  <c r="IM4"/>
  <c r="IN4"/>
  <c r="IO4"/>
  <c r="IP4"/>
  <c r="IQ4"/>
  <c r="IR4"/>
  <c r="IS4"/>
  <c r="IT4"/>
  <c r="IU4"/>
  <c r="IV4"/>
  <c r="A3"/>
  <c r="B3"/>
  <c r="C3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  <c r="AG3"/>
  <c r="AH3"/>
  <c r="AI3"/>
  <c r="AJ3"/>
  <c r="AK3"/>
  <c r="AL3"/>
  <c r="AM3"/>
  <c r="AN3"/>
  <c r="AO3"/>
  <c r="AP3"/>
  <c r="AQ3"/>
  <c r="AR3"/>
  <c r="AS3"/>
  <c r="AT3"/>
  <c r="AU3"/>
  <c r="AV3"/>
  <c r="AW3"/>
  <c r="AX3"/>
  <c r="AY3"/>
  <c r="AZ3"/>
  <c r="BA3"/>
  <c r="BB3"/>
  <c r="BC3"/>
  <c r="BD3"/>
  <c r="BE3"/>
  <c r="BF3"/>
  <c r="BG3"/>
  <c r="BH3"/>
  <c r="BI3"/>
  <c r="BJ3"/>
  <c r="BK3"/>
  <c r="BL3"/>
  <c r="BM3"/>
  <c r="A2"/>
  <c r="B2"/>
  <c r="C2"/>
  <c r="D2"/>
  <c r="E2"/>
  <c r="F2"/>
  <c r="G2"/>
  <c r="H2"/>
  <c r="I2"/>
  <c r="J2"/>
  <c r="K2"/>
  <c r="L2"/>
  <c r="M2"/>
  <c r="N2"/>
  <c r="O2"/>
  <c r="P2"/>
  <c r="Q2"/>
  <c r="R2"/>
  <c r="S2"/>
  <c r="T2"/>
  <c r="U2"/>
  <c r="V2"/>
  <c r="W2"/>
  <c r="X2"/>
  <c r="Y2"/>
  <c r="Z2"/>
  <c r="AA2"/>
  <c r="AB2"/>
  <c r="AC2"/>
  <c r="AD2"/>
  <c r="AE2"/>
  <c r="AF2"/>
  <c r="AG2"/>
  <c r="AH2"/>
  <c r="AI2"/>
  <c r="AJ2"/>
  <c r="AK2"/>
  <c r="AL2"/>
  <c r="AM2"/>
  <c r="AN2"/>
  <c r="AO2"/>
  <c r="AP2"/>
  <c r="AQ2"/>
  <c r="AR2"/>
  <c r="AS2"/>
  <c r="AT2"/>
  <c r="AU2"/>
  <c r="AV2"/>
  <c r="AW2"/>
  <c r="AX2"/>
  <c r="AY2"/>
  <c r="AZ2"/>
  <c r="BA2"/>
  <c r="BB2"/>
  <c r="BC2"/>
  <c r="BD2"/>
  <c r="BE2"/>
  <c r="BF2"/>
  <c r="BG2"/>
  <c r="BH2"/>
  <c r="BI2"/>
  <c r="BJ2"/>
  <c r="BK2"/>
  <c r="BL2"/>
  <c r="BM2"/>
  <c r="BN2"/>
  <c r="BO2"/>
  <c r="BP2"/>
  <c r="BQ2"/>
  <c r="BR2"/>
  <c r="BS2"/>
  <c r="BT2"/>
  <c r="BU2"/>
  <c r="BV2"/>
  <c r="BW2"/>
  <c r="BX2"/>
  <c r="BY2"/>
  <c r="BZ2"/>
  <c r="CA2"/>
  <c r="CB2"/>
  <c r="CC2"/>
  <c r="CD2"/>
  <c r="CE2"/>
  <c r="CF2"/>
  <c r="CG2"/>
  <c r="CH2"/>
  <c r="CI2"/>
  <c r="CJ2"/>
  <c r="CK2"/>
  <c r="CL2"/>
  <c r="CM2"/>
  <c r="CN2"/>
  <c r="CO2"/>
  <c r="CP2"/>
  <c r="CQ2"/>
  <c r="CR2"/>
  <c r="CS2"/>
  <c r="CT2"/>
  <c r="CU2"/>
  <c r="CV2"/>
  <c r="CW2"/>
  <c r="CX2"/>
  <c r="CY2"/>
  <c r="CZ2"/>
  <c r="DA2"/>
  <c r="DB2"/>
  <c r="DC2"/>
  <c r="DD2"/>
  <c r="DE2"/>
  <c r="DF2"/>
  <c r="DG2"/>
  <c r="DH2"/>
  <c r="DI2"/>
  <c r="DJ2"/>
  <c r="DK2"/>
  <c r="DL2"/>
  <c r="DM2"/>
  <c r="DN2"/>
  <c r="DO2"/>
  <c r="DP2"/>
  <c r="DQ2"/>
  <c r="DR2"/>
  <c r="DS2"/>
  <c r="DT2"/>
  <c r="DU2"/>
  <c r="DV2"/>
  <c r="DW2"/>
  <c r="DX2"/>
  <c r="DY2"/>
  <c r="DZ2"/>
  <c r="EA2"/>
  <c r="EB2"/>
  <c r="EC2"/>
  <c r="ED2"/>
  <c r="EE2"/>
  <c r="EF2"/>
  <c r="EG2"/>
  <c r="EH2"/>
  <c r="EI2"/>
  <c r="EJ2"/>
  <c r="EK2"/>
  <c r="EL2"/>
  <c r="EM2"/>
  <c r="EN2"/>
  <c r="EO2"/>
  <c r="EP2"/>
  <c r="EQ2"/>
  <c r="ER2"/>
  <c r="ES2"/>
  <c r="ET2"/>
  <c r="EU2"/>
  <c r="EV2"/>
  <c r="EW2"/>
  <c r="EX2"/>
  <c r="EY2"/>
  <c r="EZ2"/>
  <c r="FA2"/>
  <c r="FB2"/>
  <c r="FC2"/>
  <c r="FD2"/>
  <c r="FE2"/>
  <c r="FF2"/>
  <c r="FG2"/>
  <c r="FH2"/>
  <c r="FI2"/>
  <c r="FJ2"/>
  <c r="FK2"/>
  <c r="FL2"/>
  <c r="FM2"/>
  <c r="FN2"/>
  <c r="FO2"/>
  <c r="FP2"/>
  <c r="FQ2"/>
  <c r="FR2"/>
  <c r="FS2"/>
  <c r="FT2"/>
  <c r="FU2"/>
  <c r="FV2"/>
  <c r="FW2"/>
  <c r="FX2"/>
  <c r="FY2"/>
  <c r="FZ2"/>
  <c r="GA2"/>
  <c r="GB2"/>
  <c r="GC2"/>
  <c r="GD2"/>
  <c r="GE2"/>
  <c r="GF2"/>
  <c r="GG2"/>
  <c r="GH2"/>
  <c r="GI2"/>
  <c r="GJ2"/>
  <c r="GK2"/>
  <c r="GL2"/>
  <c r="GM2"/>
  <c r="GN2"/>
  <c r="GO2"/>
  <c r="GP2"/>
  <c r="GQ2"/>
  <c r="GR2"/>
  <c r="GS2"/>
  <c r="GT2"/>
  <c r="GU2"/>
  <c r="GV2"/>
  <c r="GW2"/>
  <c r="GX2"/>
  <c r="GY2"/>
  <c r="GZ2"/>
  <c r="HA2"/>
  <c r="HB2"/>
  <c r="HC2"/>
  <c r="HD2"/>
  <c r="HE2"/>
  <c r="HF2"/>
  <c r="HG2"/>
  <c r="HH2"/>
  <c r="HI2"/>
  <c r="HJ2"/>
  <c r="HK2"/>
  <c r="HL2"/>
  <c r="HM2"/>
  <c r="HN2"/>
  <c r="HO2"/>
  <c r="HP2"/>
  <c r="HQ2"/>
  <c r="HR2"/>
  <c r="HS2"/>
  <c r="HT2"/>
  <c r="HU2"/>
  <c r="HV2"/>
  <c r="HW2"/>
  <c r="HX2"/>
  <c r="HY2"/>
  <c r="HZ2"/>
  <c r="IA2"/>
  <c r="IB2"/>
  <c r="IC2"/>
  <c r="ID2"/>
  <c r="IE2"/>
  <c r="IF2"/>
  <c r="IG2"/>
  <c r="IH2"/>
  <c r="II2"/>
  <c r="IJ2"/>
  <c r="A1"/>
  <c r="B1"/>
  <c r="C1"/>
  <c r="D1"/>
  <c r="E1"/>
  <c r="F1"/>
  <c r="G1"/>
  <c r="H1"/>
  <c r="I1"/>
  <c r="J1"/>
  <c r="K1"/>
  <c r="L1"/>
  <c r="M1"/>
  <c r="N1"/>
  <c r="O1"/>
  <c r="P1"/>
  <c r="Q1"/>
  <c r="R1"/>
  <c r="S1"/>
  <c r="T1"/>
  <c r="U1"/>
  <c r="V1"/>
  <c r="W1"/>
  <c r="X1"/>
  <c r="Y1"/>
  <c r="Z1"/>
  <c r="AA1"/>
  <c r="AB1"/>
  <c r="AC1"/>
  <c r="AD1"/>
  <c r="AE1"/>
  <c r="AF1"/>
  <c r="AG1"/>
  <c r="AH1"/>
  <c r="AI1"/>
  <c r="AJ1"/>
  <c r="AK1"/>
  <c r="AL1"/>
  <c r="AM1"/>
  <c r="AN1"/>
  <c r="AO1"/>
  <c r="AP1"/>
  <c r="AQ1"/>
  <c r="AR1"/>
  <c r="AS1"/>
  <c r="AT1"/>
  <c r="AU1"/>
  <c r="AV1"/>
  <c r="AW1"/>
  <c r="AX1"/>
  <c r="AY1"/>
  <c r="AZ1"/>
  <c r="BA1"/>
  <c r="BB1"/>
  <c r="BC1"/>
  <c r="BD1"/>
  <c r="BE1"/>
  <c r="BF1"/>
  <c r="BG1"/>
  <c r="BH1"/>
  <c r="BI1"/>
  <c r="BJ1"/>
  <c r="BK1"/>
  <c r="BL1"/>
  <c r="BM1"/>
  <c r="BN1"/>
  <c r="BO1"/>
  <c r="BP1"/>
  <c r="BQ1"/>
  <c r="BR1"/>
  <c r="BS1"/>
  <c r="BT1"/>
  <c r="BU1"/>
  <c r="C6" i="1"/>
  <c r="C5" s="1"/>
  <c r="C4" s="1"/>
  <c r="D8" i="3" l="1"/>
  <c r="I6" s="1"/>
  <c r="D8" i="5"/>
  <c r="D8" i="1"/>
  <c r="GZ6" i="4"/>
  <c r="HA6"/>
  <c r="I4" i="1" l="1"/>
  <c r="I6"/>
  <c r="I4" i="5"/>
  <c r="I6"/>
  <c r="I4" i="3"/>
</calcChain>
</file>

<file path=xl/sharedStrings.xml><?xml version="1.0" encoding="utf-8"?>
<sst xmlns="http://schemas.openxmlformats.org/spreadsheetml/2006/main" count="216" uniqueCount="175">
  <si>
    <t>URV</t>
  </si>
  <si>
    <t>LRV</t>
  </si>
  <si>
    <t>Actual Input</t>
  </si>
  <si>
    <t>Ideal Values</t>
  </si>
  <si>
    <t>AAAAADb39kk=</t>
  </si>
  <si>
    <t>AAAAAGe13wA=</t>
  </si>
  <si>
    <t>Calibrated Span % Error</t>
  </si>
  <si>
    <t>Max Desired % Error</t>
  </si>
  <si>
    <t>CALIBRATION WORKSHEET FOR 4-20 mA OUTPUT</t>
  </si>
  <si>
    <t>Test Result</t>
  </si>
  <si>
    <t>% of Span</t>
  </si>
  <si>
    <t>CALIBRATION WORKSHEET FOR 1-5 Vdc OUTPUT</t>
  </si>
  <si>
    <t>Unit Error</t>
  </si>
  <si>
    <t>CALIBRATION WORKSHEET FOR 3-15 PSI OUTPUT</t>
  </si>
  <si>
    <t>atm</t>
  </si>
  <si>
    <t>bar</t>
  </si>
  <si>
    <t>psi</t>
  </si>
  <si>
    <t>mbar</t>
  </si>
  <si>
    <t>Pa</t>
  </si>
  <si>
    <t>hPa</t>
  </si>
  <si>
    <t>Mpa</t>
  </si>
  <si>
    <t>mmH2O</t>
  </si>
  <si>
    <t>cmH2O</t>
  </si>
  <si>
    <t>mH2O</t>
  </si>
  <si>
    <t>inH2O</t>
  </si>
  <si>
    <t>mmHg</t>
  </si>
  <si>
    <t>cmHg</t>
  </si>
  <si>
    <t>inHg</t>
  </si>
  <si>
    <t>Torr</t>
  </si>
  <si>
    <t>Fahrenheit</t>
  </si>
  <si>
    <t>Rankine</t>
  </si>
  <si>
    <t>kelvin</t>
  </si>
  <si>
    <t>N/m²</t>
  </si>
  <si>
    <t>g/cm²</t>
  </si>
  <si>
    <t>kg/cm²</t>
  </si>
  <si>
    <t>decigram</t>
  </si>
  <si>
    <t>dekagram</t>
  </si>
  <si>
    <t>dram</t>
  </si>
  <si>
    <t>grain</t>
  </si>
  <si>
    <t>gram</t>
  </si>
  <si>
    <t>hectogram</t>
  </si>
  <si>
    <t>kilogram</t>
  </si>
  <si>
    <t>lb, lbs</t>
  </si>
  <si>
    <t>megagram</t>
  </si>
  <si>
    <t xml:space="preserve">long ton </t>
  </si>
  <si>
    <t>metric ton</t>
  </si>
  <si>
    <t>microgram</t>
  </si>
  <si>
    <t>milligram</t>
  </si>
  <si>
    <t>ounce</t>
  </si>
  <si>
    <t>pound</t>
  </si>
  <si>
    <t>short ton</t>
  </si>
  <si>
    <t>ton</t>
  </si>
  <si>
    <t>Celsius</t>
  </si>
  <si>
    <t>liter/sec</t>
  </si>
  <si>
    <t>liter/min</t>
  </si>
  <si>
    <t>liter/h</t>
  </si>
  <si>
    <t>US gpd</t>
  </si>
  <si>
    <t>US gpm</t>
  </si>
  <si>
    <t>cfm</t>
  </si>
  <si>
    <t>centigram/day</t>
  </si>
  <si>
    <t>centigram/hour</t>
  </si>
  <si>
    <t>centigram/minute</t>
  </si>
  <si>
    <t>centigram/second</t>
  </si>
  <si>
    <t>gram/day</t>
  </si>
  <si>
    <t>gram/hour</t>
  </si>
  <si>
    <t>gram/minute</t>
  </si>
  <si>
    <t>gram/second</t>
  </si>
  <si>
    <t>kilogram/day</t>
  </si>
  <si>
    <t>kilogram/hour</t>
  </si>
  <si>
    <t>kilogram/minute</t>
  </si>
  <si>
    <t>kilogram/second</t>
  </si>
  <si>
    <t>milligram/day</t>
  </si>
  <si>
    <t>milligram/hour</t>
  </si>
  <si>
    <t>milligram/minute</t>
  </si>
  <si>
    <t>milligram/second</t>
  </si>
  <si>
    <t>ounce/day</t>
  </si>
  <si>
    <t>ounce/hour</t>
  </si>
  <si>
    <t>ounce/minute</t>
  </si>
  <si>
    <t>ounce/second</t>
  </si>
  <si>
    <t>pound/day</t>
  </si>
  <si>
    <t>pounds/hour</t>
  </si>
  <si>
    <t>pounds/minute</t>
  </si>
  <si>
    <t>pounds/second</t>
  </si>
  <si>
    <t>cfh</t>
  </si>
  <si>
    <t>cfs</t>
  </si>
  <si>
    <t>Imp gal/hr</t>
  </si>
  <si>
    <t>Imp gal/day</t>
  </si>
  <si>
    <t>centigram</t>
  </si>
  <si>
    <r>
      <t>m</t>
    </r>
    <r>
      <rPr>
        <vertAlign val="superscript"/>
        <sz val="12"/>
        <color theme="1"/>
        <rFont val="Courier"/>
        <family val="3"/>
      </rPr>
      <t>3</t>
    </r>
    <r>
      <rPr>
        <sz val="12"/>
        <color theme="1"/>
        <rFont val="Courier"/>
        <family val="3"/>
      </rPr>
      <t>/s</t>
    </r>
  </si>
  <si>
    <r>
      <t>m</t>
    </r>
    <r>
      <rPr>
        <vertAlign val="superscript"/>
        <sz val="12"/>
        <color theme="1"/>
        <rFont val="Courier"/>
        <family val="3"/>
      </rPr>
      <t>3</t>
    </r>
    <r>
      <rPr>
        <sz val="12"/>
        <color theme="1"/>
        <rFont val="Courier"/>
        <family val="3"/>
      </rPr>
      <t>/min</t>
    </r>
  </si>
  <si>
    <r>
      <t>m</t>
    </r>
    <r>
      <rPr>
        <vertAlign val="superscript"/>
        <sz val="12"/>
        <color theme="1"/>
        <rFont val="Courier"/>
        <family val="3"/>
      </rPr>
      <t>3</t>
    </r>
    <r>
      <rPr>
        <sz val="12"/>
        <color theme="1"/>
        <rFont val="Courier"/>
        <family val="3"/>
      </rPr>
      <t>/h</t>
    </r>
  </si>
  <si>
    <t>Units</t>
  </si>
  <si>
    <t>plus or minus</t>
  </si>
  <si>
    <t>Engineering ToolBox</t>
  </si>
  <si>
    <t>Online Conversion - Convert just about anything to anything else</t>
  </si>
  <si>
    <t>US gph</t>
  </si>
  <si>
    <r>
      <t xml:space="preserve">% Error </t>
    </r>
    <r>
      <rPr>
        <b/>
        <sz val="9.5"/>
        <color theme="1"/>
        <rFont val="Calibri"/>
        <family val="2"/>
      </rPr>
      <t>↓</t>
    </r>
  </si>
  <si>
    <r>
      <t>As Found</t>
    </r>
    <r>
      <rPr>
        <b/>
        <sz val="9.5"/>
        <color theme="1"/>
        <rFont val="Calibri"/>
        <family val="2"/>
      </rPr>
      <t>↓</t>
    </r>
    <r>
      <rPr>
        <b/>
        <sz val="9.5"/>
        <color theme="1"/>
        <rFont val="Courier"/>
        <family val="3"/>
      </rPr>
      <t xml:space="preserve"> </t>
    </r>
  </si>
  <si>
    <r>
      <t>% Error</t>
    </r>
    <r>
      <rPr>
        <b/>
        <sz val="9.5"/>
        <color theme="1"/>
        <rFont val="Calibri"/>
        <family val="2"/>
      </rPr>
      <t>↑</t>
    </r>
    <r>
      <rPr>
        <b/>
        <sz val="9.5"/>
        <color theme="1"/>
        <rFont val="Courier"/>
        <family val="3"/>
      </rPr>
      <t xml:space="preserve"> </t>
    </r>
  </si>
  <si>
    <r>
      <t>As Found</t>
    </r>
    <r>
      <rPr>
        <b/>
        <sz val="9.5"/>
        <color theme="1"/>
        <rFont val="Calibri"/>
        <family val="2"/>
      </rPr>
      <t>↑</t>
    </r>
  </si>
  <si>
    <r>
      <t>% Error</t>
    </r>
    <r>
      <rPr>
        <b/>
        <sz val="9.5"/>
        <color theme="1"/>
        <rFont val="Calibri"/>
        <family val="2"/>
      </rPr>
      <t>↓</t>
    </r>
  </si>
  <si>
    <r>
      <t>% Error</t>
    </r>
    <r>
      <rPr>
        <b/>
        <sz val="9.5"/>
        <color theme="1"/>
        <rFont val="Calibri"/>
        <family val="2"/>
      </rPr>
      <t>↑</t>
    </r>
  </si>
  <si>
    <r>
      <t>As Found</t>
    </r>
    <r>
      <rPr>
        <b/>
        <sz val="9.5"/>
        <color theme="1"/>
        <rFont val="Calibri"/>
        <family val="2"/>
      </rPr>
      <t>↓</t>
    </r>
  </si>
  <si>
    <r>
      <t>As Found</t>
    </r>
    <r>
      <rPr>
        <b/>
        <sz val="9.5"/>
        <color theme="1"/>
        <rFont val="Calibri"/>
        <family val="2"/>
      </rPr>
      <t>↑</t>
    </r>
    <r>
      <rPr>
        <b/>
        <sz val="9.5"/>
        <color theme="1"/>
        <rFont val="Courier"/>
        <family val="3"/>
      </rPr>
      <t xml:space="preserve"> </t>
    </r>
  </si>
  <si>
    <t>Tagname:</t>
  </si>
  <si>
    <t>Manufacturer:</t>
  </si>
  <si>
    <t>Serial#:</t>
  </si>
  <si>
    <t>Model#:</t>
  </si>
  <si>
    <t>Tagname:TT-0551</t>
  </si>
  <si>
    <t>Manufacturer:Rosemount</t>
  </si>
  <si>
    <t>Model#:3144</t>
  </si>
  <si>
    <t>Serial#:87905443</t>
  </si>
  <si>
    <t>kilopascal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</si>
  <si>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</si>
  <si>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</si>
  <si>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</si>
  <si>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</si>
  <si>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</si>
  <si>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</si>
  <si>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</si>
  <si>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</si>
  <si>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</si>
  <si>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</si>
  <si>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</si>
  <si>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</si>
  <si>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</si>
  <si>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Day</t>
  </si>
  <si>
    <t>Year</t>
  </si>
  <si>
    <t>Caldate:</t>
  </si>
  <si>
    <t>1,</t>
  </si>
  <si>
    <t>2,</t>
  </si>
  <si>
    <t>3,</t>
  </si>
  <si>
    <t>4,</t>
  </si>
  <si>
    <t>5,</t>
  </si>
  <si>
    <t>6,</t>
  </si>
  <si>
    <t>7,</t>
  </si>
  <si>
    <t>8,</t>
  </si>
  <si>
    <t>9,</t>
  </si>
  <si>
    <t>10,</t>
  </si>
  <si>
    <t>11,</t>
  </si>
  <si>
    <t>12,</t>
  </si>
  <si>
    <t>13,</t>
  </si>
  <si>
    <t>14,</t>
  </si>
  <si>
    <t>15,</t>
  </si>
  <si>
    <t>16,</t>
  </si>
  <si>
    <t>17,</t>
  </si>
  <si>
    <t>18,</t>
  </si>
  <si>
    <t>19,</t>
  </si>
  <si>
    <t>20,</t>
  </si>
  <si>
    <t>21,</t>
  </si>
  <si>
    <t>22,</t>
  </si>
  <si>
    <t>23,</t>
  </si>
  <si>
    <t>24,</t>
  </si>
  <si>
    <t>25,</t>
  </si>
  <si>
    <t>26,</t>
  </si>
  <si>
    <t>27,</t>
  </si>
  <si>
    <t>28,</t>
  </si>
  <si>
    <t>29,</t>
  </si>
  <si>
    <t>30,</t>
  </si>
  <si>
    <t>31,</t>
  </si>
  <si>
    <t>American National Standards Institute - ANSI</t>
  </si>
  <si>
    <t>ISA | The International Society of Automation</t>
  </si>
  <si>
    <t>NOAA's National Weather Service</t>
  </si>
  <si>
    <t>Helpful Links</t>
  </si>
  <si>
    <t>Welcome To The API Website</t>
  </si>
  <si>
    <t>National Institute of Standards and Technology</t>
  </si>
  <si>
    <t>Tech.Name</t>
  </si>
  <si>
    <t>Mark Weisner</t>
  </si>
  <si>
    <t>volts</t>
  </si>
  <si>
    <t>millivolts</t>
  </si>
  <si>
    <t>ohms</t>
  </si>
  <si>
    <t>milliamps</t>
  </si>
  <si>
    <t>hertz</t>
  </si>
  <si>
    <t>kilohertz</t>
  </si>
  <si>
    <t>megahertz</t>
  </si>
</sst>
</file>

<file path=xl/styles.xml><?xml version="1.0" encoding="utf-8"?>
<styleSheet xmlns="http://schemas.openxmlformats.org/spreadsheetml/2006/main">
  <numFmts count="5">
    <numFmt numFmtId="164" formatCode="0.000000"/>
    <numFmt numFmtId="165" formatCode="[$-409]d\-mmm\-yy;@"/>
    <numFmt numFmtId="166" formatCode="0;[Red]0"/>
    <numFmt numFmtId="167" formatCode="0.00000"/>
    <numFmt numFmtId="168" formatCode="0.000"/>
  </numFmts>
  <fonts count="22">
    <font>
      <sz val="11"/>
      <color theme="1"/>
      <name val="Century Schoolbook"/>
      <family val="2"/>
      <scheme val="minor"/>
    </font>
    <font>
      <sz val="11"/>
      <name val="Century Schoolbook"/>
      <family val="2"/>
      <scheme val="minor"/>
    </font>
    <font>
      <u/>
      <sz val="11"/>
      <color theme="10"/>
      <name val="Century Schoolbook"/>
      <family val="2"/>
    </font>
    <font>
      <sz val="12"/>
      <color theme="1"/>
      <name val="Courier"/>
      <family val="3"/>
    </font>
    <font>
      <sz val="14"/>
      <color theme="1"/>
      <name val="Courier"/>
      <family val="3"/>
    </font>
    <font>
      <sz val="11"/>
      <color theme="1"/>
      <name val="Courier"/>
      <family val="3"/>
    </font>
    <font>
      <vertAlign val="superscript"/>
      <sz val="12"/>
      <color theme="1"/>
      <name val="Courier"/>
      <family val="3"/>
    </font>
    <font>
      <sz val="12"/>
      <name val="Courier"/>
      <family val="3"/>
    </font>
    <font>
      <b/>
      <sz val="12"/>
      <color theme="1"/>
      <name val="Courier"/>
      <family val="3"/>
    </font>
    <font>
      <u/>
      <sz val="11"/>
      <color rgb="FF0070C0"/>
      <name val="Century Schoolbook"/>
      <family val="2"/>
    </font>
    <font>
      <sz val="11"/>
      <color rgb="FF0070C0"/>
      <name val="Century Schoolbook"/>
      <family val="2"/>
      <scheme val="minor"/>
    </font>
    <font>
      <b/>
      <sz val="9.5"/>
      <color theme="1"/>
      <name val="Courier"/>
      <family val="3"/>
    </font>
    <font>
      <b/>
      <sz val="9.5"/>
      <name val="Courier"/>
      <family val="3"/>
    </font>
    <font>
      <b/>
      <i/>
      <sz val="9.5"/>
      <color theme="1"/>
      <name val="Courier"/>
      <family val="3"/>
    </font>
    <font>
      <b/>
      <sz val="9.5"/>
      <color theme="0"/>
      <name val="Courier"/>
      <family val="3"/>
    </font>
    <font>
      <b/>
      <sz val="9.5"/>
      <color theme="1"/>
      <name val="Century Schoolbook"/>
      <family val="2"/>
      <scheme val="minor"/>
    </font>
    <font>
      <b/>
      <sz val="9.5"/>
      <color theme="1"/>
      <name val="Calibri"/>
      <family val="2"/>
    </font>
    <font>
      <b/>
      <sz val="9.5"/>
      <color theme="0"/>
      <name val="Century Schoolbook"/>
      <family val="2"/>
      <scheme val="minor"/>
    </font>
    <font>
      <b/>
      <sz val="9.5"/>
      <color theme="0"/>
      <name val="Microsoft Sans Serif"/>
      <family val="2"/>
    </font>
    <font>
      <b/>
      <sz val="9.5"/>
      <name val="Courier New"/>
      <family val="3"/>
    </font>
    <font>
      <b/>
      <sz val="9.5"/>
      <color theme="1"/>
      <name val="Courier New"/>
      <family val="3"/>
    </font>
    <font>
      <b/>
      <i/>
      <sz val="9.5"/>
      <color theme="1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7DBDB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2" fillId="0" borderId="0" xfId="1" applyAlignment="1" applyProtection="1"/>
    <xf numFmtId="0" fontId="3" fillId="0" borderId="1" xfId="0" applyFont="1" applyBorder="1"/>
    <xf numFmtId="0" fontId="5" fillId="0" borderId="0" xfId="0" applyFont="1"/>
    <xf numFmtId="0" fontId="4" fillId="0" borderId="0" xfId="0" applyFont="1"/>
    <xf numFmtId="0" fontId="3" fillId="5" borderId="1" xfId="0" applyFont="1" applyFill="1" applyBorder="1" applyAlignment="1">
      <alignment horizontal="left" wrapText="1"/>
    </xf>
    <xf numFmtId="0" fontId="7" fillId="5" borderId="1" xfId="1" applyFont="1" applyFill="1" applyBorder="1" applyAlignment="1" applyProtection="1">
      <alignment horizontal="left" wrapText="1"/>
    </xf>
    <xf numFmtId="0" fontId="8" fillId="0" borderId="0" xfId="0" applyFont="1"/>
    <xf numFmtId="0" fontId="9" fillId="0" borderId="0" xfId="1" applyFont="1" applyAlignment="1" applyProtection="1"/>
    <xf numFmtId="0" fontId="10" fillId="0" borderId="0" xfId="0" applyFont="1" applyAlignment="1"/>
    <xf numFmtId="0" fontId="3" fillId="0" borderId="1" xfId="0" applyFont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12" fillId="6" borderId="1" xfId="0" applyFont="1" applyFill="1" applyBorder="1"/>
    <xf numFmtId="0" fontId="12" fillId="2" borderId="1" xfId="0" applyFont="1" applyFill="1" applyBorder="1"/>
    <xf numFmtId="0" fontId="11" fillId="2" borderId="1" xfId="0" applyFont="1" applyFill="1" applyBorder="1"/>
    <xf numFmtId="0" fontId="11" fillId="2" borderId="9" xfId="0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3" xfId="0" applyFont="1" applyFill="1" applyBorder="1"/>
    <xf numFmtId="0" fontId="11" fillId="3" borderId="1" xfId="0" applyFont="1" applyFill="1" applyBorder="1" applyAlignment="1">
      <alignment horizontal="center"/>
    </xf>
    <xf numFmtId="2" fontId="11" fillId="2" borderId="1" xfId="0" applyNumberFormat="1" applyFont="1" applyFill="1" applyBorder="1"/>
    <xf numFmtId="2" fontId="11" fillId="3" borderId="1" xfId="0" applyNumberFormat="1" applyFont="1" applyFill="1" applyBorder="1"/>
    <xf numFmtId="164" fontId="11" fillId="4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3" borderId="1" xfId="0" applyFont="1" applyFill="1" applyBorder="1"/>
    <xf numFmtId="0" fontId="11" fillId="2" borderId="0" xfId="0" applyFont="1" applyFill="1" applyBorder="1" applyAlignment="1">
      <alignment horizontal="center"/>
    </xf>
    <xf numFmtId="0" fontId="14" fillId="2" borderId="1" xfId="0" applyFont="1" applyFill="1" applyBorder="1"/>
    <xf numFmtId="0" fontId="14" fillId="2" borderId="0" xfId="0" applyFont="1" applyFill="1" applyBorder="1"/>
    <xf numFmtId="0" fontId="11" fillId="2" borderId="0" xfId="0" applyFont="1" applyFill="1" applyBorder="1"/>
    <xf numFmtId="0" fontId="11" fillId="3" borderId="2" xfId="0" applyFont="1" applyFill="1" applyBorder="1"/>
    <xf numFmtId="0" fontId="11" fillId="2" borderId="15" xfId="0" applyFont="1" applyFill="1" applyBorder="1"/>
    <xf numFmtId="0" fontId="11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/>
    </xf>
    <xf numFmtId="0" fontId="11" fillId="2" borderId="2" xfId="0" applyFont="1" applyFill="1" applyBorder="1"/>
    <xf numFmtId="0" fontId="14" fillId="2" borderId="1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3" xfId="0" applyFont="1" applyFill="1" applyBorder="1"/>
    <xf numFmtId="0" fontId="15" fillId="2" borderId="12" xfId="0" applyFont="1" applyFill="1" applyBorder="1" applyAlignment="1">
      <alignment horizontal="center"/>
    </xf>
    <xf numFmtId="2" fontId="15" fillId="2" borderId="1" xfId="0" applyNumberFormat="1" applyFont="1" applyFill="1" applyBorder="1"/>
    <xf numFmtId="0" fontId="15" fillId="2" borderId="2" xfId="0" applyFont="1" applyFill="1" applyBorder="1"/>
    <xf numFmtId="0" fontId="17" fillId="2" borderId="0" xfId="0" applyFont="1" applyFill="1" applyBorder="1" applyAlignment="1">
      <alignment horizontal="center"/>
    </xf>
    <xf numFmtId="0" fontId="15" fillId="2" borderId="0" xfId="0" applyFont="1" applyFill="1" applyBorder="1"/>
    <xf numFmtId="0" fontId="15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1" fillId="2" borderId="6" xfId="0" applyFont="1" applyFill="1" applyBorder="1"/>
    <xf numFmtId="0" fontId="11" fillId="2" borderId="6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2" fontId="11" fillId="3" borderId="2" xfId="0" applyNumberFormat="1" applyFont="1" applyFill="1" applyBorder="1" applyAlignment="1">
      <alignment horizontal="center"/>
    </xf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4" xfId="0" applyFont="1" applyFill="1" applyBorder="1"/>
    <xf numFmtId="0" fontId="12" fillId="6" borderId="1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164" fontId="11" fillId="4" borderId="9" xfId="0" applyNumberFormat="1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2" fillId="6" borderId="3" xfId="0" applyFont="1" applyFill="1" applyBorder="1"/>
    <xf numFmtId="2" fontId="11" fillId="2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164" fontId="20" fillId="4" borderId="1" xfId="0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right"/>
    </xf>
    <xf numFmtId="0" fontId="12" fillId="2" borderId="9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11" fillId="2" borderId="11" xfId="0" applyFont="1" applyFill="1" applyBorder="1"/>
    <xf numFmtId="0" fontId="11" fillId="2" borderId="12" xfId="0" applyFont="1" applyFill="1" applyBorder="1"/>
    <xf numFmtId="0" fontId="11" fillId="2" borderId="4" xfId="0" applyFont="1" applyFill="1" applyBorder="1"/>
    <xf numFmtId="0" fontId="19" fillId="2" borderId="1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165" fontId="5" fillId="0" borderId="0" xfId="0" applyNumberFormat="1" applyFont="1"/>
    <xf numFmtId="165" fontId="4" fillId="0" borderId="0" xfId="0" applyNumberFormat="1" applyFont="1"/>
    <xf numFmtId="166" fontId="5" fillId="0" borderId="0" xfId="0" applyNumberFormat="1" applyFont="1"/>
    <xf numFmtId="166" fontId="4" fillId="0" borderId="0" xfId="0" applyNumberFormat="1" applyFont="1"/>
    <xf numFmtId="1" fontId="5" fillId="0" borderId="0" xfId="0" applyNumberFormat="1" applyFont="1"/>
    <xf numFmtId="1" fontId="4" fillId="0" borderId="0" xfId="0" applyNumberFormat="1" applyFont="1"/>
    <xf numFmtId="0" fontId="17" fillId="2" borderId="4" xfId="0" applyFont="1" applyFill="1" applyBorder="1" applyAlignment="1">
      <alignment horizontal="center"/>
    </xf>
    <xf numFmtId="0" fontId="12" fillId="2" borderId="3" xfId="0" applyFont="1" applyFill="1" applyBorder="1"/>
    <xf numFmtId="0" fontId="12" fillId="2" borderId="1" xfId="0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8" fontId="11" fillId="2" borderId="9" xfId="0" applyNumberFormat="1" applyFont="1" applyFill="1" applyBorder="1"/>
    <xf numFmtId="168" fontId="11" fillId="2" borderId="1" xfId="0" applyNumberFormat="1" applyFont="1" applyFill="1" applyBorder="1" applyAlignment="1">
      <alignment horizontal="center"/>
    </xf>
    <xf numFmtId="167" fontId="11" fillId="4" borderId="1" xfId="0" applyNumberFormat="1" applyFont="1" applyFill="1" applyBorder="1"/>
    <xf numFmtId="168" fontId="11" fillId="2" borderId="1" xfId="0" applyNumberFormat="1" applyFont="1" applyFill="1" applyBorder="1"/>
    <xf numFmtId="167" fontId="11" fillId="4" borderId="2" xfId="0" applyNumberFormat="1" applyFont="1" applyFill="1" applyBorder="1"/>
    <xf numFmtId="0" fontId="13" fillId="4" borderId="15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14" fillId="7" borderId="9" xfId="0" applyFont="1" applyFill="1" applyBorder="1" applyAlignment="1">
      <alignment horizontal="center"/>
    </xf>
    <xf numFmtId="0" fontId="9" fillId="0" borderId="0" xfId="1" applyFont="1" applyAlignment="1" applyProtection="1">
      <alignment horizontal="center"/>
    </xf>
    <xf numFmtId="0" fontId="1" fillId="6" borderId="0" xfId="0" applyFont="1" applyFill="1" applyAlignment="1">
      <alignment horizontal="center" vertical="center"/>
    </xf>
    <xf numFmtId="0" fontId="9" fillId="2" borderId="0" xfId="1" applyFont="1" applyFill="1" applyAlignment="1" applyProtection="1">
      <alignment horizontal="center"/>
    </xf>
    <xf numFmtId="0" fontId="12" fillId="2" borderId="1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left"/>
    </xf>
    <xf numFmtId="0" fontId="19" fillId="2" borderId="16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0" fontId="15" fillId="2" borderId="9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2" fillId="6" borderId="18" xfId="0" applyFont="1" applyFill="1" applyBorder="1" applyAlignment="1">
      <alignment horizontal="center"/>
    </xf>
    <xf numFmtId="0" fontId="12" fillId="6" borderId="19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left"/>
    </xf>
    <xf numFmtId="0" fontId="12" fillId="2" borderId="16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4" fillId="2" borderId="4" xfId="0" applyFont="1" applyFill="1" applyBorder="1"/>
    <xf numFmtId="0" fontId="11" fillId="2" borderId="13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FFCC"/>
      <color rgb="FF66FFFF"/>
      <color rgb="FFB7DBDB"/>
      <color rgb="FF22C6CE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2"/>
  <c:chart>
    <c:plotArea>
      <c:layout>
        <c:manualLayout>
          <c:layoutTarget val="inner"/>
          <c:xMode val="edge"/>
          <c:yMode val="edge"/>
          <c:x val="0.10069446310678742"/>
          <c:y val="4.0569679454961809E-2"/>
          <c:w val="0.71235127359652251"/>
          <c:h val="0.72199322805643773"/>
        </c:manualLayout>
      </c:layout>
      <c:scatterChart>
        <c:scatterStyle val="lineMarker"/>
        <c:ser>
          <c:idx val="1"/>
          <c:order val="1"/>
          <c:tx>
            <c:strRef>
              <c:f>'4-20 mA'!$H$2</c:f>
              <c:strCache>
                <c:ptCount val="1"/>
                <c:pt idx="0">
                  <c:v>% Error↓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xVal>
            <c:numRef>
              <c:f>'4-20 mA'!$A$3:$A$7</c:f>
              <c:numCache>
                <c:formatCode>General</c:formatCode>
                <c:ptCount val="5"/>
                <c:pt idx="0">
                  <c:v>100</c:v>
                </c:pt>
                <c:pt idx="1">
                  <c:v>75</c:v>
                </c:pt>
                <c:pt idx="2">
                  <c:v>50</c:v>
                </c:pt>
                <c:pt idx="3">
                  <c:v>25</c:v>
                </c:pt>
                <c:pt idx="4">
                  <c:v>0</c:v>
                </c:pt>
              </c:numCache>
            </c:numRef>
          </c:xVal>
          <c:yVal>
            <c:numRef>
              <c:f>'4-20 mA'!$H$3:$H$7</c:f>
              <c:numCache>
                <c:formatCode>0.000</c:formatCode>
                <c:ptCount val="5"/>
                <c:pt idx="0">
                  <c:v>0.18750000000000711</c:v>
                </c:pt>
                <c:pt idx="1">
                  <c:v>0.12499999999999734</c:v>
                </c:pt>
                <c:pt idx="2">
                  <c:v>0.187499999999996</c:v>
                </c:pt>
                <c:pt idx="3">
                  <c:v>0.31250000000000444</c:v>
                </c:pt>
                <c:pt idx="4">
                  <c:v>0</c:v>
                </c:pt>
              </c:numCache>
            </c:numRef>
          </c:yVal>
        </c:ser>
        <c:ser>
          <c:idx val="0"/>
          <c:order val="0"/>
          <c:tx>
            <c:strRef>
              <c:f>'4-20 mA'!$F$2</c:f>
              <c:strCache>
                <c:ptCount val="1"/>
                <c:pt idx="0">
                  <c:v>% Error↑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'4-20 mA'!$A$3:$A$7</c:f>
              <c:numCache>
                <c:formatCode>General</c:formatCode>
                <c:ptCount val="5"/>
                <c:pt idx="0">
                  <c:v>100</c:v>
                </c:pt>
                <c:pt idx="1">
                  <c:v>75</c:v>
                </c:pt>
                <c:pt idx="2">
                  <c:v>50</c:v>
                </c:pt>
                <c:pt idx="3">
                  <c:v>25</c:v>
                </c:pt>
                <c:pt idx="4">
                  <c:v>0</c:v>
                </c:pt>
              </c:numCache>
            </c:numRef>
          </c:xVal>
          <c:yVal>
            <c:numRef>
              <c:f>'4-20 mA'!$F$3:$F$7</c:f>
              <c:numCache>
                <c:formatCode>0.000</c:formatCode>
                <c:ptCount val="5"/>
                <c:pt idx="0">
                  <c:v>1.8750000000000044</c:v>
                </c:pt>
                <c:pt idx="1">
                  <c:v>0.68749999999999645</c:v>
                </c:pt>
                <c:pt idx="2">
                  <c:v>0.56249999999999911</c:v>
                </c:pt>
                <c:pt idx="3">
                  <c:v>0.31249999999999889</c:v>
                </c:pt>
                <c:pt idx="4">
                  <c:v>0.31249999999999889</c:v>
                </c:pt>
              </c:numCache>
            </c:numRef>
          </c:yVal>
        </c:ser>
        <c:axId val="83432960"/>
        <c:axId val="83434880"/>
      </c:scatterChart>
      <c:valAx>
        <c:axId val="83432960"/>
        <c:scaling>
          <c:orientation val="minMax"/>
          <c:max val="100"/>
          <c:min val="0"/>
        </c:scaling>
        <c:axPos val="b"/>
        <c:majorGridlines/>
        <c:numFmt formatCode="General" sourceLinked="1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solidFill>
                  <a:sysClr val="windowText" lastClr="000000"/>
                </a:solidFill>
                <a:latin typeface="Angsana New" pitchFamily="18" charset="-34"/>
                <a:cs typeface="Angsana New" pitchFamily="18" charset="-34"/>
              </a:defRPr>
            </a:pPr>
            <a:endParaRPr lang="en-US"/>
          </a:p>
        </c:txPr>
        <c:crossAx val="83434880"/>
        <c:crosses val="autoZero"/>
        <c:crossBetween val="midCat"/>
        <c:majorUnit val="5"/>
        <c:minorUnit val="1"/>
      </c:valAx>
      <c:valAx>
        <c:axId val="83434880"/>
        <c:scaling>
          <c:orientation val="minMax"/>
          <c:max val="5"/>
        </c:scaling>
        <c:axPos val="l"/>
        <c:majorGridlines/>
        <c:numFmt formatCode="#,##0.00" sourceLinked="0"/>
        <c:minorTickMark val="in"/>
        <c:tickLblPos val="nextTo"/>
        <c:spPr>
          <a:noFill/>
          <a:effectLst>
            <a:outerShdw blurRad="50800" dist="50800" dir="5400000" algn="ctr" rotWithShape="0">
              <a:schemeClr val="bg1"/>
            </a:outerShdw>
          </a:effectLst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83432960"/>
        <c:crosses val="autoZero"/>
        <c:crossBetween val="midCat"/>
        <c:majorUnit val="0.25"/>
      </c:valAx>
      <c:spPr>
        <a:solidFill>
          <a:schemeClr val="bg1">
            <a:alpha val="52000"/>
          </a:schemeClr>
        </a:solidFill>
      </c:spPr>
    </c:plotArea>
    <c:legend>
      <c:legendPos val="r"/>
      <c:legendEntry>
        <c:idx val="0"/>
        <c:txPr>
          <a:bodyPr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endParaRPr lang="en-US"/>
          </a:p>
        </c:txPr>
      </c:legendEntry>
      <c:layout/>
    </c:legend>
    <c:plotVisOnly val="1"/>
    <c:dispBlanksAs val="gap"/>
  </c:chart>
  <c:spPr>
    <a:blipFill dpi="0" rotWithShape="1">
      <a:blip xmlns:r="http://schemas.openxmlformats.org/officeDocument/2006/relationships" r:embed="rId1">
        <a:alphaModFix amt="64000"/>
      </a:blip>
      <a:srcRect/>
      <a:tile tx="0" ty="0" sx="100000" sy="100000" flip="none" algn="tl"/>
    </a:blipFill>
    <a:scene3d>
      <a:camera prst="orthographicFront"/>
      <a:lightRig rig="chilly" dir="t">
        <a:rot lat="0" lon="0" rev="1800000"/>
      </a:lightRig>
    </a:scene3d>
    <a:sp3d prstMaterial="metal">
      <a:bevelT w="95250" h="114300"/>
      <a:bevelB w="114300" h="203200" prst="relaxedInset"/>
    </a:sp3d>
  </c:sp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6825405858433282"/>
          <c:y val="3.8706649885977391E-2"/>
          <c:w val="0.61160870516185473"/>
          <c:h val="0.8031558034412366"/>
        </c:manualLayout>
      </c:layout>
      <c:scatterChart>
        <c:scatterStyle val="lineMarker"/>
        <c:ser>
          <c:idx val="3"/>
          <c:order val="0"/>
          <c:tx>
            <c:v>Down Error</c:v>
          </c:tx>
          <c:spPr>
            <a:ln>
              <a:solidFill>
                <a:srgbClr val="00B050"/>
              </a:solidFill>
            </a:ln>
          </c:spPr>
          <c:marker>
            <c:symbol val="x"/>
            <c:size val="5"/>
            <c:spPr>
              <a:solidFill>
                <a:srgbClr val="00B050"/>
              </a:solidFill>
              <a:ln w="6350">
                <a:solidFill>
                  <a:srgbClr val="00B050"/>
                </a:solidFill>
              </a:ln>
            </c:spPr>
          </c:marker>
          <c:xVal>
            <c:numRef>
              <c:f>'1-5 Vdc'!$A$3:$A$7</c:f>
              <c:numCache>
                <c:formatCode>General</c:formatCode>
                <c:ptCount val="5"/>
                <c:pt idx="0">
                  <c:v>100</c:v>
                </c:pt>
                <c:pt idx="1">
                  <c:v>75</c:v>
                </c:pt>
                <c:pt idx="2">
                  <c:v>50</c:v>
                </c:pt>
                <c:pt idx="3">
                  <c:v>25</c:v>
                </c:pt>
                <c:pt idx="4">
                  <c:v>0</c:v>
                </c:pt>
              </c:numCache>
            </c:numRef>
          </c:xVal>
          <c:yVal>
            <c:numRef>
              <c:f>'1-5 Vdc'!$H$3:$H$7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0.50000000000000044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</c:ser>
        <c:ser>
          <c:idx val="0"/>
          <c:order val="1"/>
          <c:tx>
            <c:v>Up Error</c:v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xVal>
            <c:numRef>
              <c:f>'1-5 Vdc'!$A$3:$A$7</c:f>
              <c:numCache>
                <c:formatCode>General</c:formatCode>
                <c:ptCount val="5"/>
                <c:pt idx="0">
                  <c:v>100</c:v>
                </c:pt>
                <c:pt idx="1">
                  <c:v>75</c:v>
                </c:pt>
                <c:pt idx="2">
                  <c:v>50</c:v>
                </c:pt>
                <c:pt idx="3">
                  <c:v>25</c:v>
                </c:pt>
                <c:pt idx="4">
                  <c:v>0</c:v>
                </c:pt>
              </c:numCache>
            </c:numRef>
          </c:xVal>
          <c:yVal>
            <c:numRef>
              <c:f>'1-5 Vdc'!$F$3:$F$7</c:f>
              <c:numCache>
                <c:formatCode>0.000</c:formatCode>
                <c:ptCount val="5"/>
                <c:pt idx="0">
                  <c:v>0.49999999999998934</c:v>
                </c:pt>
                <c:pt idx="1">
                  <c:v>0</c:v>
                </c:pt>
                <c:pt idx="2">
                  <c:v>0.50000000000000044</c:v>
                </c:pt>
                <c:pt idx="3">
                  <c:v>1.2499999999999956</c:v>
                </c:pt>
                <c:pt idx="4">
                  <c:v>0.75000000000000067</c:v>
                </c:pt>
              </c:numCache>
            </c:numRef>
          </c:yVal>
        </c:ser>
        <c:axId val="82907520"/>
        <c:axId val="82909440"/>
      </c:scatterChart>
      <c:valAx>
        <c:axId val="82907520"/>
        <c:scaling>
          <c:orientation val="minMax"/>
          <c:max val="100"/>
        </c:scaling>
        <c:axPos val="b"/>
        <c:majorGridlines/>
        <c:minorGridlines/>
        <c:numFmt formatCode="General" sourceLinked="1"/>
        <c:tickLblPos val="nextTo"/>
        <c:crossAx val="82909440"/>
        <c:crosses val="autoZero"/>
        <c:crossBetween val="midCat"/>
        <c:majorUnit val="10"/>
        <c:minorUnit val="5"/>
      </c:valAx>
      <c:valAx>
        <c:axId val="82909440"/>
        <c:scaling>
          <c:orientation val="minMax"/>
          <c:max val="5"/>
        </c:scaling>
        <c:axPos val="l"/>
        <c:majorGridlines/>
        <c:numFmt formatCode="0.000" sourceLinked="1"/>
        <c:tickLblPos val="nextTo"/>
        <c:crossAx val="82907520"/>
        <c:crosses val="autoZero"/>
        <c:crossBetween val="midCat"/>
        <c:majorUnit val="0.25"/>
      </c:valAx>
    </c:plotArea>
    <c:legend>
      <c:legendPos val="r"/>
      <c:layout/>
    </c:legend>
    <c:plotVisOnly val="1"/>
  </c:chart>
  <c:spPr>
    <a:blipFill dpi="0" rotWithShape="1">
      <a:blip xmlns:r="http://schemas.openxmlformats.org/officeDocument/2006/relationships" r:embed="rId1">
        <a:alphaModFix amt="86000"/>
      </a:blip>
      <a:srcRect/>
      <a:tile tx="0" ty="0" sx="100000" sy="100000" flip="none" algn="tl"/>
    </a:blipFill>
    <a:effectLst>
      <a:innerShdw blurRad="63500" dist="50800" dir="18900000">
        <a:srgbClr val="CCFFCC">
          <a:alpha val="50000"/>
        </a:srgbClr>
      </a:innerShdw>
    </a:effectLst>
    <a:scene3d>
      <a:camera prst="orthographicFront"/>
      <a:lightRig rig="threePt" dir="t">
        <a:rot lat="0" lon="0" rev="1200000"/>
      </a:lightRig>
    </a:scene3d>
    <a:sp3d>
      <a:bevelT prst="relaxedInset"/>
    </a:sp3d>
  </c:sp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297665968095722"/>
          <c:y val="2.1516433580130837E-2"/>
          <c:w val="0.65858155387152839"/>
          <c:h val="0.8031558034412366"/>
        </c:manualLayout>
      </c:layout>
      <c:scatterChart>
        <c:scatterStyle val="lineMarker"/>
        <c:ser>
          <c:idx val="0"/>
          <c:order val="0"/>
          <c:tx>
            <c:v>Up Error</c:v>
          </c:tx>
          <c:spPr>
            <a:ln w="31750"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xVal>
            <c:numRef>
              <c:f>'3-15 PSI'!$A$3:$A$7</c:f>
              <c:numCache>
                <c:formatCode>General</c:formatCode>
                <c:ptCount val="5"/>
                <c:pt idx="0">
                  <c:v>100</c:v>
                </c:pt>
                <c:pt idx="1">
                  <c:v>75</c:v>
                </c:pt>
                <c:pt idx="2">
                  <c:v>50</c:v>
                </c:pt>
                <c:pt idx="3">
                  <c:v>25</c:v>
                </c:pt>
                <c:pt idx="4">
                  <c:v>0</c:v>
                </c:pt>
              </c:numCache>
            </c:numRef>
          </c:xVal>
          <c:yVal>
            <c:numRef>
              <c:f>'3-15 PSI'!$F$3:$F$7</c:f>
              <c:numCache>
                <c:formatCode>0.000</c:formatCode>
                <c:ptCount val="5"/>
                <c:pt idx="0">
                  <c:v>0</c:v>
                </c:pt>
                <c:pt idx="1">
                  <c:v>0.16666666666666313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</c:ser>
        <c:ser>
          <c:idx val="1"/>
          <c:order val="1"/>
          <c:tx>
            <c:v>Down Error</c:v>
          </c:tx>
          <c:spPr>
            <a:ln w="31750"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'3-15 PSI'!$A$3:$A$7</c:f>
              <c:numCache>
                <c:formatCode>General</c:formatCode>
                <c:ptCount val="5"/>
                <c:pt idx="0">
                  <c:v>100</c:v>
                </c:pt>
                <c:pt idx="1">
                  <c:v>75</c:v>
                </c:pt>
                <c:pt idx="2">
                  <c:v>50</c:v>
                </c:pt>
                <c:pt idx="3">
                  <c:v>25</c:v>
                </c:pt>
                <c:pt idx="4">
                  <c:v>0</c:v>
                </c:pt>
              </c:numCache>
            </c:numRef>
          </c:xVal>
          <c:yVal>
            <c:numRef>
              <c:f>'3-15 PSI'!$H$3:$H$7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</c:ser>
        <c:axId val="83552128"/>
        <c:axId val="83554304"/>
      </c:scatterChart>
      <c:valAx>
        <c:axId val="83552128"/>
        <c:scaling>
          <c:orientation val="minMax"/>
          <c:max val="100"/>
        </c:scaling>
        <c:axPos val="b"/>
        <c:majorGridlines/>
        <c:minorGridlines/>
        <c:numFmt formatCode="General" sourceLinked="1"/>
        <c:tickLblPos val="nextTo"/>
        <c:crossAx val="83554304"/>
        <c:crosses val="autoZero"/>
        <c:crossBetween val="midCat"/>
        <c:majorUnit val="10"/>
        <c:minorUnit val="5"/>
      </c:valAx>
      <c:valAx>
        <c:axId val="83554304"/>
        <c:scaling>
          <c:orientation val="minMax"/>
          <c:max val="5"/>
          <c:min val="0"/>
        </c:scaling>
        <c:axPos val="l"/>
        <c:majorGridlines/>
        <c:numFmt formatCode="0.000" sourceLinked="1"/>
        <c:tickLblPos val="nextTo"/>
        <c:crossAx val="83552128"/>
        <c:crosses val="autoZero"/>
        <c:crossBetween val="midCat"/>
        <c:majorUnit val="0.25"/>
        <c:minorUnit val="4.0000000000000022E-2"/>
      </c:valAx>
    </c:plotArea>
    <c:legend>
      <c:legendPos val="r"/>
      <c:layout/>
    </c:legend>
    <c:plotVisOnly val="1"/>
  </c:chart>
  <c:spPr>
    <a:blipFill dpi="0" rotWithShape="1">
      <a:blip xmlns:r="http://schemas.openxmlformats.org/officeDocument/2006/relationships" r:embed="rId1">
        <a:alphaModFix amt="64000"/>
      </a:blip>
      <a:srcRect/>
      <a:tile tx="0" ty="0" sx="100000" sy="100000" flip="none" algn="tl"/>
    </a:blipFill>
    <a:scene3d>
      <a:camera prst="orthographicFront"/>
      <a:lightRig rig="threePt" dir="t">
        <a:rot lat="0" lon="0" rev="600000"/>
      </a:lightRig>
    </a:scene3d>
    <a:sp3d>
      <a:bevelT prst="relaxedInset"/>
    </a:sp3d>
  </c:spPr>
  <c:printSettings>
    <c:headerFooter/>
    <c:pageMargins b="0.75000000000000011" l="0.25" r="0.25" t="0.75000000000000011" header="0.30000000000000004" footer="0.30000000000000004"/>
    <c:pageSetup orientation="landscape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0</xdr:row>
      <xdr:rowOff>7620</xdr:rowOff>
    </xdr:from>
    <xdr:ext cx="7414260" cy="2781300"/>
    <xdr:sp macro="" textlink="">
      <xdr:nvSpPr>
        <xdr:cNvPr id="2" name="TextBox 1"/>
        <xdr:cNvSpPr txBox="1"/>
      </xdr:nvSpPr>
      <xdr:spPr>
        <a:xfrm>
          <a:off x="7620" y="7620"/>
          <a:ext cx="7414260" cy="2781300"/>
        </a:xfrm>
        <a:prstGeom prst="rect">
          <a:avLst/>
        </a:prstGeom>
        <a:solidFill>
          <a:srgbClr val="B7DBDB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en-US" sz="2000" b="1">
              <a:latin typeface="Courier New" pitchFamily="49" charset="0"/>
              <a:cs typeface="Courier New" pitchFamily="49" charset="0"/>
            </a:rPr>
            <a:t>Calibration Workbook</a:t>
          </a:r>
        </a:p>
        <a:p>
          <a:pPr algn="ctr"/>
          <a:r>
            <a:rPr lang="en-US" sz="1400" b="1" i="1">
              <a:latin typeface="Arial" pitchFamily="34" charset="0"/>
              <a:cs typeface="Arial" pitchFamily="34" charset="0"/>
            </a:rPr>
            <a:t>by Mark Weisner Level ll CCST</a:t>
          </a:r>
        </a:p>
        <a:p>
          <a:pPr algn="l"/>
          <a:r>
            <a:rPr lang="en-US" sz="1400" b="1" i="1">
              <a:latin typeface="Arial" pitchFamily="34" charset="0"/>
              <a:cs typeface="Arial" pitchFamily="34" charset="0"/>
            </a:rPr>
            <a:t>Directions:</a:t>
          </a:r>
        </a:p>
        <a:p>
          <a:pPr algn="l"/>
          <a:r>
            <a:rPr lang="en-US" sz="1000" b="1" i="0">
              <a:latin typeface="Courier New" pitchFamily="49" charset="0"/>
              <a:cs typeface="Courier New" pitchFamily="49" charset="0"/>
            </a:rPr>
            <a:t>Choose the correct worksheet for your output.</a:t>
          </a:r>
        </a:p>
        <a:p>
          <a:pPr algn="l"/>
          <a:r>
            <a:rPr lang="en-US" sz="1000" b="1" i="0">
              <a:latin typeface="Courier New" pitchFamily="49" charset="0"/>
              <a:cs typeface="Courier New" pitchFamily="49" charset="0"/>
            </a:rPr>
            <a:t>Enter your data in blue cells only.</a:t>
          </a:r>
        </a:p>
        <a:p>
          <a:pPr algn="l"/>
          <a:r>
            <a:rPr lang="en-US" sz="1000" b="1" i="0">
              <a:latin typeface="Courier New" pitchFamily="49" charset="0"/>
              <a:cs typeface="Courier New" pitchFamily="49" charset="0"/>
            </a:rPr>
            <a:t>Change the</a:t>
          </a:r>
          <a:r>
            <a:rPr lang="en-US" sz="1000" b="1" i="0" baseline="0">
              <a:latin typeface="Courier New" pitchFamily="49" charset="0"/>
              <a:cs typeface="Courier New" pitchFamily="49" charset="0"/>
            </a:rPr>
            <a:t> LRV and URV to get your test points.</a:t>
          </a:r>
        </a:p>
        <a:p>
          <a:pPr algn="l"/>
          <a:r>
            <a:rPr lang="en-US" sz="1000" b="1" i="0" baseline="0">
              <a:latin typeface="Courier New" pitchFamily="49" charset="0"/>
              <a:cs typeface="Courier New" pitchFamily="49" charset="0"/>
            </a:rPr>
            <a:t>Enter your as found values.</a:t>
          </a:r>
          <a:endParaRPr lang="en-US" sz="1000" b="1" i="0">
            <a:latin typeface="Courier New" pitchFamily="49" charset="0"/>
            <a:cs typeface="Courier New" pitchFamily="49" charset="0"/>
          </a:endParaRPr>
        </a:p>
        <a:p>
          <a:pPr algn="l"/>
          <a:r>
            <a:rPr lang="en-US" sz="1000" b="1" i="0">
              <a:latin typeface="Courier New" pitchFamily="49" charset="0"/>
              <a:cs typeface="Courier New" pitchFamily="49" charset="0"/>
            </a:rPr>
            <a:t>Results are automatically calculated.</a:t>
          </a:r>
        </a:p>
        <a:p>
          <a:pPr algn="l"/>
          <a:r>
            <a:rPr lang="en-US" sz="1000" b="1" i="0">
              <a:latin typeface="Courier New" pitchFamily="49" charset="0"/>
              <a:cs typeface="Courier New" pitchFamily="49" charset="0"/>
            </a:rPr>
            <a:t>Do not change formulas in cells.</a:t>
          </a:r>
        </a:p>
        <a:p>
          <a:pPr algn="l"/>
          <a:r>
            <a:rPr lang="en-US" sz="1000" b="1" i="0">
              <a:latin typeface="Courier New" pitchFamily="49" charset="0"/>
              <a:cs typeface="Courier New" pitchFamily="49" charset="0"/>
            </a:rPr>
            <a:t>Click on unit to select</a:t>
          </a:r>
          <a:r>
            <a:rPr lang="en-US" sz="1000" b="1" i="0" baseline="0">
              <a:latin typeface="Courier New" pitchFamily="49" charset="0"/>
              <a:cs typeface="Courier New" pitchFamily="49" charset="0"/>
            </a:rPr>
            <a:t> different ones.</a:t>
          </a:r>
        </a:p>
        <a:p>
          <a:pPr algn="l"/>
          <a:r>
            <a:rPr lang="en-US" sz="1000" b="1" i="0" baseline="0">
              <a:latin typeface="Courier New" pitchFamily="49" charset="0"/>
              <a:cs typeface="Courier New" pitchFamily="49" charset="0"/>
            </a:rPr>
            <a:t>If your unit is not in drop down,add it to unit sheet column A.</a:t>
          </a:r>
        </a:p>
        <a:p>
          <a:pPr algn="l"/>
          <a:r>
            <a:rPr lang="en-US" sz="1000" b="1" i="0" baseline="0">
              <a:latin typeface="Courier New" pitchFamily="49" charset="0"/>
              <a:cs typeface="Courier New" pitchFamily="49" charset="0"/>
            </a:rPr>
            <a:t>Click on date cells at bottom to enter Caldate.</a:t>
          </a:r>
        </a:p>
        <a:p>
          <a:pPr algn="l"/>
          <a:r>
            <a:rPr lang="en-US" sz="1000" b="1" i="0" baseline="0">
              <a:latin typeface="Courier New" pitchFamily="49" charset="0"/>
              <a:cs typeface="Courier New" pitchFamily="49" charset="0"/>
            </a:rPr>
            <a:t>Type in your name for tech.name.</a:t>
          </a:r>
          <a:endParaRPr lang="en-US" sz="1000" b="1" i="1">
            <a:latin typeface="Courier New" pitchFamily="49" charset="0"/>
            <a:cs typeface="Courier New" pitchFamily="49" charset="0"/>
          </a:endParaRPr>
        </a:p>
        <a:p>
          <a:pPr algn="l"/>
          <a:endParaRPr lang="en-US" sz="1600" b="1" i="1">
            <a:latin typeface="Courier New" pitchFamily="49" charset="0"/>
            <a:cs typeface="Courier New" pitchFamily="49" charset="0"/>
          </a:endParaRPr>
        </a:p>
        <a:p>
          <a:pPr algn="l"/>
          <a:endParaRPr lang="en-US" sz="1600" b="1" i="1">
            <a:latin typeface="Courier New" pitchFamily="49" charset="0"/>
            <a:cs typeface="Courier New" pitchFamily="49" charset="0"/>
          </a:endParaRPr>
        </a:p>
      </xdr:txBody>
    </xdr:sp>
    <xdr:clientData/>
  </xdr:oneCellAnchor>
  <xdr:oneCellAnchor>
    <xdr:from>
      <xdr:col>2</xdr:col>
      <xdr:colOff>15240</xdr:colOff>
      <xdr:row>22</xdr:row>
      <xdr:rowOff>7620</xdr:rowOff>
    </xdr:from>
    <xdr:ext cx="4594860" cy="381000"/>
    <xdr:sp macro="" textlink="">
      <xdr:nvSpPr>
        <xdr:cNvPr id="4" name="TextBox 3"/>
        <xdr:cNvSpPr txBox="1"/>
      </xdr:nvSpPr>
      <xdr:spPr>
        <a:xfrm>
          <a:off x="1356360" y="3863340"/>
          <a:ext cx="4594860" cy="381000"/>
        </a:xfrm>
        <a:prstGeom prst="rect">
          <a:avLst/>
        </a:prstGeom>
        <a:solidFill>
          <a:srgbClr val="CC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en-US" sz="1100"/>
            <a:t>WORKSHEETS ARE PRINTER READY!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99060</xdr:rowOff>
    </xdr:from>
    <xdr:to>
      <xdr:col>9</xdr:col>
      <xdr:colOff>7620</xdr:colOff>
      <xdr:row>31</xdr:row>
      <xdr:rowOff>99060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60960</xdr:colOff>
      <xdr:row>6</xdr:row>
      <xdr:rowOff>106680</xdr:rowOff>
    </xdr:from>
    <xdr:ext cx="414198" cy="254557"/>
    <xdr:sp macro="" textlink="">
      <xdr:nvSpPr>
        <xdr:cNvPr id="3" name="TextBox 2"/>
        <xdr:cNvSpPr txBox="1"/>
      </xdr:nvSpPr>
      <xdr:spPr>
        <a:xfrm>
          <a:off x="2148840" y="1021080"/>
          <a:ext cx="41419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100"/>
            <a:t>+/-</a:t>
          </a:r>
        </a:p>
      </xdr:txBody>
    </xdr:sp>
    <xdr:clientData/>
  </xdr:oneCellAnchor>
  <xdr:oneCellAnchor>
    <xdr:from>
      <xdr:col>6</xdr:col>
      <xdr:colOff>121920</xdr:colOff>
      <xdr:row>6</xdr:row>
      <xdr:rowOff>106680</xdr:rowOff>
    </xdr:from>
    <xdr:ext cx="438582" cy="252185"/>
    <xdr:sp macro="" textlink="">
      <xdr:nvSpPr>
        <xdr:cNvPr id="4" name="TextBox 3"/>
        <xdr:cNvSpPr txBox="1"/>
      </xdr:nvSpPr>
      <xdr:spPr>
        <a:xfrm>
          <a:off x="4846320" y="1030605"/>
          <a:ext cx="438582" cy="252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 b="1">
              <a:latin typeface="Courier New" pitchFamily="49" charset="0"/>
              <a:cs typeface="Courier New" pitchFamily="49" charset="0"/>
            </a:rPr>
            <a:t>+/-</a:t>
          </a:r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0.00722</cdr:x>
      <cdr:y>0.01852</cdr:y>
    </cdr:from>
    <cdr:to>
      <cdr:x>0.00722</cdr:x>
      <cdr:y>0.01852</cdr:y>
    </cdr:to>
    <cdr:sp macro="" textlink="">
      <cdr:nvSpPr>
        <cdr:cNvPr id="2" name="DVCHARTID" hidden="1"/>
        <cdr:cNvSpPr txBox="1"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" rtlCol="0" anchor="ctr"/>
        <a:lstStyle xmlns:a="http://schemas.openxmlformats.org/drawingml/2006/main"/>
        <a:p xmlns:a="http://schemas.openxmlformats.org/drawingml/2006/main">
          <a:pPr algn="r"/>
          <a:r>
            <a:rPr lang="en-US" sz="1100"/>
            <a:t>L9MXbGBbkYc6meg68zHRPE</a:t>
          </a:r>
        </a:p>
      </cdr:txBody>
    </cdr:sp>
  </cdr:relSizeAnchor>
  <cdr:relSizeAnchor xmlns:cdr="http://schemas.openxmlformats.org/drawingml/2006/chartDrawing">
    <cdr:from>
      <cdr:x>0.00593</cdr:x>
      <cdr:y>0.23693</cdr:y>
    </cdr:from>
    <cdr:to>
      <cdr:x>0.04695</cdr:x>
      <cdr:y>0.62908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-236220" y="838200"/>
          <a:ext cx="91440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ysClr val="windowText" lastClr="000000"/>
              </a:solidFill>
            </a:rPr>
            <a:t>Percent of </a:t>
          </a:r>
          <a:r>
            <a:rPr lang="en-US" sz="1100">
              <a:solidFill>
                <a:sysClr val="windowText" lastClr="000000"/>
              </a:solidFill>
              <a:latin typeface="Microsoft Sans Serif" pitchFamily="34" charset="0"/>
              <a:cs typeface="Microsoft Sans Serif" pitchFamily="34" charset="0"/>
            </a:rPr>
            <a:t>Error</a:t>
          </a:r>
        </a:p>
      </cdr:txBody>
    </cdr:sp>
  </cdr:relSizeAnchor>
  <cdr:relSizeAnchor xmlns:cdr="http://schemas.openxmlformats.org/drawingml/2006/chartDrawing">
    <cdr:from>
      <cdr:x>0.33564</cdr:x>
      <cdr:y>0.89691</cdr:y>
    </cdr:from>
    <cdr:to>
      <cdr:x>0.55972</cdr:x>
      <cdr:y>0.96907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590800" y="3314700"/>
          <a:ext cx="172974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100">
              <a:solidFill>
                <a:sysClr val="windowText" lastClr="000000"/>
              </a:solidFill>
            </a:rPr>
            <a:t>Percent of Span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899160</xdr:colOff>
      <xdr:row>29</xdr:row>
      <xdr:rowOff>121920</xdr:rowOff>
    </xdr:from>
    <xdr:ext cx="5692140" cy="906780"/>
    <xdr:sp macro="" textlink="">
      <xdr:nvSpPr>
        <xdr:cNvPr id="3" name="TextBox 2"/>
        <xdr:cNvSpPr txBox="1"/>
      </xdr:nvSpPr>
      <xdr:spPr>
        <a:xfrm>
          <a:off x="899160" y="5265420"/>
          <a:ext cx="5692140" cy="906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0</xdr:colOff>
      <xdr:row>9</xdr:row>
      <xdr:rowOff>99060</xdr:rowOff>
    </xdr:from>
    <xdr:to>
      <xdr:col>9</xdr:col>
      <xdr:colOff>0</xdr:colOff>
      <xdr:row>31</xdr:row>
      <xdr:rowOff>45720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30480</xdr:colOff>
      <xdr:row>6</xdr:row>
      <xdr:rowOff>129540</xdr:rowOff>
    </xdr:from>
    <xdr:ext cx="419100" cy="266701"/>
    <xdr:sp macro="" textlink="">
      <xdr:nvSpPr>
        <xdr:cNvPr id="4" name="TextBox 3"/>
        <xdr:cNvSpPr txBox="1"/>
      </xdr:nvSpPr>
      <xdr:spPr>
        <a:xfrm>
          <a:off x="4632960" y="1120140"/>
          <a:ext cx="419100" cy="2667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100"/>
            <a:t>+/-</a:t>
          </a:r>
        </a:p>
      </xdr:txBody>
    </xdr:sp>
    <xdr:clientData/>
  </xdr:oneCellAnchor>
  <xdr:oneCellAnchor>
    <xdr:from>
      <xdr:col>2</xdr:col>
      <xdr:colOff>1005840</xdr:colOff>
      <xdr:row>6</xdr:row>
      <xdr:rowOff>114300</xdr:rowOff>
    </xdr:from>
    <xdr:ext cx="403860" cy="254557"/>
    <xdr:sp macro="" textlink="">
      <xdr:nvSpPr>
        <xdr:cNvPr id="5" name="TextBox 4"/>
        <xdr:cNvSpPr txBox="1"/>
      </xdr:nvSpPr>
      <xdr:spPr>
        <a:xfrm>
          <a:off x="2063115" y="1085850"/>
          <a:ext cx="40386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100"/>
            <a:t>+/-</a:t>
          </a:r>
        </a:p>
      </xdr:txBody>
    </xdr:sp>
    <xdr:clientData/>
  </xdr:oneCellAnchor>
  <xdr:oneCellAnchor>
    <xdr:from>
      <xdr:col>0</xdr:col>
      <xdr:colOff>432467</xdr:colOff>
      <xdr:row>16</xdr:row>
      <xdr:rowOff>85693</xdr:rowOff>
    </xdr:from>
    <xdr:ext cx="254557" cy="1180451"/>
    <xdr:sp macro="" textlink="">
      <xdr:nvSpPr>
        <xdr:cNvPr id="7" name="TextBox 6"/>
        <xdr:cNvSpPr txBox="1"/>
      </xdr:nvSpPr>
      <xdr:spPr>
        <a:xfrm rot="16200000">
          <a:off x="-30480" y="3116580"/>
          <a:ext cx="118045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Percent of Error</a:t>
          </a:r>
        </a:p>
      </xdr:txBody>
    </xdr:sp>
    <xdr:clientData/>
  </xdr:one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0.00694</cdr:x>
      <cdr:y>0.01366</cdr:y>
    </cdr:from>
    <cdr:to>
      <cdr:x>0.00694</cdr:x>
      <cdr:y>0.01366</cdr:y>
    </cdr:to>
    <cdr:sp macro="" textlink="">
      <cdr:nvSpPr>
        <cdr:cNvPr id="2" name="DVCHARTID" hidden="1"/>
        <cdr:cNvSpPr txBox="1"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" rtlCol="0" anchor="ctr"/>
        <a:lstStyle xmlns:a="http://schemas.openxmlformats.org/drawingml/2006/main"/>
        <a:p xmlns:a="http://schemas.openxmlformats.org/drawingml/2006/main">
          <a:pPr algn="r"/>
          <a:r>
            <a:rPr lang="en-US" sz="1100"/>
            <a:t>7YsAQOl7b2dRBUBj2mhXZd</a:t>
          </a:r>
        </a:p>
      </cdr:txBody>
    </cdr:sp>
  </cdr:relSizeAnchor>
  <cdr:relSizeAnchor xmlns:cdr="http://schemas.openxmlformats.org/drawingml/2006/chartDrawing">
    <cdr:from>
      <cdr:x>0.34914</cdr:x>
      <cdr:y>0.90476</cdr:y>
    </cdr:from>
    <cdr:to>
      <cdr:x>0.56358</cdr:x>
      <cdr:y>0.99048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468880" y="3619500"/>
          <a:ext cx="151638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Percent of Span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899160</xdr:colOff>
      <xdr:row>29</xdr:row>
      <xdr:rowOff>121920</xdr:rowOff>
    </xdr:from>
    <xdr:ext cx="5692140" cy="906780"/>
    <xdr:sp macro="" textlink="">
      <xdr:nvSpPr>
        <xdr:cNvPr id="2" name="TextBox 1"/>
        <xdr:cNvSpPr txBox="1"/>
      </xdr:nvSpPr>
      <xdr:spPr>
        <a:xfrm>
          <a:off x="899160" y="5204460"/>
          <a:ext cx="5692140" cy="906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0</xdr:colOff>
      <xdr:row>9</xdr:row>
      <xdr:rowOff>45720</xdr:rowOff>
    </xdr:from>
    <xdr:to>
      <xdr:col>8</xdr:col>
      <xdr:colOff>1295400</xdr:colOff>
      <xdr:row>33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83820</xdr:colOff>
      <xdr:row>6</xdr:row>
      <xdr:rowOff>91440</xdr:rowOff>
    </xdr:from>
    <xdr:ext cx="388620" cy="281941"/>
    <xdr:sp macro="" textlink="">
      <xdr:nvSpPr>
        <xdr:cNvPr id="4" name="TextBox 3"/>
        <xdr:cNvSpPr txBox="1"/>
      </xdr:nvSpPr>
      <xdr:spPr>
        <a:xfrm>
          <a:off x="2171700" y="1013460"/>
          <a:ext cx="388620" cy="2819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100"/>
            <a:t>+/-</a:t>
          </a:r>
        </a:p>
      </xdr:txBody>
    </xdr:sp>
    <xdr:clientData/>
  </xdr:oneCellAnchor>
  <xdr:oneCellAnchor>
    <xdr:from>
      <xdr:col>6</xdr:col>
      <xdr:colOff>83820</xdr:colOff>
      <xdr:row>6</xdr:row>
      <xdr:rowOff>106680</xdr:rowOff>
    </xdr:from>
    <xdr:ext cx="434340" cy="254557"/>
    <xdr:sp macro="" textlink="">
      <xdr:nvSpPr>
        <xdr:cNvPr id="5" name="TextBox 4"/>
        <xdr:cNvSpPr txBox="1"/>
      </xdr:nvSpPr>
      <xdr:spPr>
        <a:xfrm>
          <a:off x="4792980" y="1028700"/>
          <a:ext cx="43434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100"/>
            <a:t>+/-</a:t>
          </a:r>
        </a:p>
      </xdr:txBody>
    </xdr:sp>
    <xdr:clientData/>
  </xdr:one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0.26618</cdr:x>
      <cdr:y>0.92637</cdr:y>
    </cdr:from>
    <cdr:to>
      <cdr:x>0.56472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43100" y="2971800"/>
          <a:ext cx="21793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0.27718</cdr:x>
      <cdr:y>0.88795</cdr:y>
    </cdr:from>
    <cdr:to>
      <cdr:x>0.57572</cdr:x>
      <cdr:y>0.9839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112112" y="3362804"/>
          <a:ext cx="2274874" cy="3633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Percent of Span</a:t>
          </a:r>
        </a:p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0.02487</cdr:x>
      <cdr:y>0.26862</cdr:y>
    </cdr:from>
    <cdr:to>
      <cdr:x>0.06871</cdr:x>
      <cdr:y>0.66529</cdr:y>
    </cdr:to>
    <cdr:sp macro="" textlink="">
      <cdr:nvSpPr>
        <cdr:cNvPr id="4" name="TextBox 3"/>
        <cdr:cNvSpPr txBox="1"/>
      </cdr:nvSpPr>
      <cdr:spPr>
        <a:xfrm xmlns:a="http://schemas.openxmlformats.org/drawingml/2006/main" rot="16200000">
          <a:off x="-394583" y="1601385"/>
          <a:ext cx="1502245" cy="3340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Percent of Error</a:t>
          </a:r>
        </a:p>
      </cdr:txBody>
    </cdr:sp>
  </cdr:relSizeAnchor>
  <cdr:relSizeAnchor xmlns:cdr="http://schemas.openxmlformats.org/drawingml/2006/chartDrawing">
    <cdr:from>
      <cdr:x>0.00765</cdr:x>
      <cdr:y>0.01522</cdr:y>
    </cdr:from>
    <cdr:to>
      <cdr:x>0.00765</cdr:x>
      <cdr:y>0.01522</cdr:y>
    </cdr:to>
    <cdr:sp macro="" textlink="">
      <cdr:nvSpPr>
        <cdr:cNvPr id="5" name="DVCHARTID" hidden="1"/>
        <cdr:cNvSpPr txBox="1"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" rtlCol="0" anchor="ctr"/>
        <a:lstStyle xmlns:a="http://schemas.openxmlformats.org/drawingml/2006/main"/>
        <a:p xmlns:a="http://schemas.openxmlformats.org/drawingml/2006/main">
          <a:pPr algn="r"/>
          <a:r>
            <a:rPr lang="en-US" sz="1100"/>
            <a:t>TvzCOYpSkp8wz4KPFM8PBf</a:t>
          </a:r>
        </a:p>
      </cdr:txBody>
    </cdr:sp>
  </cdr:relSizeAnchor>
</c:userShape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iel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riel">
      <a:majorFont>
        <a:latin typeface="Century Schoolbook"/>
        <a:ea typeface=""/>
        <a:cs typeface=""/>
        <a:font script="Jpan" typeface="ＭＳ Ｐ明朝"/>
        <a:font script="Hang" typeface="휴먼매직체"/>
        <a:font script="Hans" typeface="华文楷体"/>
        <a:font script="Hant" typeface="新細明體"/>
        <a:font script="Arab" typeface="Times New Roman"/>
        <a:font script="Hebr" typeface="Times New Roman"/>
        <a:font script="Thai" typeface="Kodchiang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entury Schoolbook"/>
        <a:ea typeface=""/>
        <a:cs typeface=""/>
        <a:font script="Jpan" typeface="ＭＳ Ｐ明朝"/>
        <a:font script="Hang" typeface="휴먼매직체"/>
        <a:font script="Hans" typeface="宋体"/>
        <a:font script="Hant" typeface="新細明體"/>
        <a:font script="Arab" typeface="Times New Roman"/>
        <a:font script="Hebr" typeface="Times New Roman"/>
        <a:font script="Thai" typeface="Kodchiang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riel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60000"/>
              </a:schemeClr>
            </a:gs>
            <a:gs pos="30000">
              <a:schemeClr val="phClr">
                <a:tint val="38000"/>
                <a:satMod val="260000"/>
              </a:schemeClr>
            </a:gs>
            <a:gs pos="75000">
              <a:schemeClr val="phClr">
                <a:tint val="55000"/>
                <a:satMod val="255000"/>
              </a:schemeClr>
            </a:gs>
            <a:gs pos="100000">
              <a:schemeClr val="phClr">
                <a:tint val="70000"/>
                <a:satMod val="255000"/>
              </a:schemeClr>
            </a:gs>
          </a:gsLst>
          <a:path path="circle">
            <a:fillToRect l="5000" t="100000" r="120000" b="10000"/>
          </a:path>
        </a:gradFill>
        <a:gradFill rotWithShape="1">
          <a:gsLst>
            <a:gs pos="0">
              <a:schemeClr val="phClr">
                <a:shade val="63000"/>
                <a:satMod val="165000"/>
              </a:schemeClr>
            </a:gs>
            <a:gs pos="30000">
              <a:schemeClr val="phClr">
                <a:shade val="58000"/>
                <a:satMod val="165000"/>
              </a:schemeClr>
            </a:gs>
            <a:gs pos="75000">
              <a:schemeClr val="phClr">
                <a:shade val="30000"/>
                <a:satMod val="175000"/>
              </a:schemeClr>
            </a:gs>
            <a:gs pos="100000">
              <a:schemeClr val="phClr">
                <a:shade val="15000"/>
                <a:satMod val="175000"/>
              </a:schemeClr>
            </a:gs>
          </a:gsLst>
          <a:path path="circle">
            <a:fillToRect l="5000" t="100000" r="120000" b="10000"/>
          </a:path>
        </a:gradFill>
      </a:fillStyleLst>
      <a:lnStyleLst>
        <a:ln w="12700" cap="flat" cmpd="sng" algn="ctr">
          <a:solidFill>
            <a:schemeClr val="phClr">
              <a:shade val="70000"/>
              <a:satMod val="15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20000" dir="5400000" rotWithShape="0">
              <a:srgbClr val="000000">
                <a:alpha val="42000"/>
              </a:srgbClr>
            </a:outerShdw>
          </a:effectLst>
        </a:effectStyle>
        <a:effectStyle>
          <a:effectLst>
            <a:outerShdw blurRad="50800" dist="20000" dir="5400000" rotWithShape="0">
              <a:srgbClr val="000000">
                <a:alpha val="4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0"/>
            </a:lightRig>
          </a:scene3d>
          <a:sp3d>
            <a:bevelT w="47625" h="69850"/>
            <a:contourClr>
              <a:schemeClr val="lt1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8000"/>
                <a:satMod val="125000"/>
              </a:schemeClr>
            </a:gs>
            <a:gs pos="40000">
              <a:schemeClr val="phClr">
                <a:tint val="90000"/>
                <a:shade val="90000"/>
                <a:satMod val="120000"/>
              </a:schemeClr>
            </a:gs>
            <a:gs pos="100000">
              <a:schemeClr val="phClr">
                <a:tint val="5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hade val="80000"/>
              </a:schemeClr>
              <a:schemeClr val="phClr">
                <a:tint val="91000"/>
              </a:schemeClr>
            </a:duotone>
          </a:blip>
          <a:tile tx="0" ty="0" sx="40000" sy="50000" flip="y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ansi.org/" TargetMode="External"/><Relationship Id="rId7" Type="http://schemas.openxmlformats.org/officeDocument/2006/relationships/hyperlink" Target="http://www.nist.gov/index.html" TargetMode="External"/><Relationship Id="rId2" Type="http://schemas.openxmlformats.org/officeDocument/2006/relationships/hyperlink" Target="http://www.onlineconversion.com/" TargetMode="External"/><Relationship Id="rId1" Type="http://schemas.openxmlformats.org/officeDocument/2006/relationships/hyperlink" Target="http://www.engineeringtoolbox.com/" TargetMode="External"/><Relationship Id="rId6" Type="http://schemas.openxmlformats.org/officeDocument/2006/relationships/hyperlink" Target="http://api-ep.api.org/" TargetMode="External"/><Relationship Id="rId5" Type="http://schemas.openxmlformats.org/officeDocument/2006/relationships/hyperlink" Target="http://www.nws.noaa.gov/" TargetMode="External"/><Relationship Id="rId4" Type="http://schemas.openxmlformats.org/officeDocument/2006/relationships/hyperlink" Target="http://www.isa.org/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7:K20"/>
  <sheetViews>
    <sheetView workbookViewId="0">
      <selection activeCell="A19" sqref="A19"/>
    </sheetView>
  </sheetViews>
  <sheetFormatPr defaultRowHeight="14.25"/>
  <sheetData>
    <row r="17" spans="1:11">
      <c r="E17" s="107" t="s">
        <v>163</v>
      </c>
      <c r="F17" s="107"/>
      <c r="G17" s="107"/>
    </row>
    <row r="18" spans="1:11">
      <c r="A18" s="106" t="s">
        <v>93</v>
      </c>
      <c r="B18" s="106"/>
      <c r="C18" s="106" t="s">
        <v>161</v>
      </c>
      <c r="D18" s="106"/>
      <c r="E18" s="106"/>
      <c r="F18" s="106"/>
      <c r="G18" s="106"/>
      <c r="H18" s="106" t="s">
        <v>162</v>
      </c>
      <c r="I18" s="106"/>
      <c r="J18" s="106"/>
      <c r="K18" s="106"/>
    </row>
    <row r="19" spans="1:11">
      <c r="A19" s="8" t="s">
        <v>94</v>
      </c>
      <c r="B19" s="8"/>
      <c r="C19" s="9"/>
      <c r="D19" s="9"/>
      <c r="E19" s="9"/>
      <c r="F19" s="9"/>
      <c r="H19" s="106" t="s">
        <v>164</v>
      </c>
      <c r="I19" s="106"/>
      <c r="J19" s="106"/>
    </row>
    <row r="20" spans="1:11">
      <c r="A20" s="108" t="s">
        <v>160</v>
      </c>
      <c r="B20" s="108"/>
      <c r="C20" s="108"/>
      <c r="D20" s="108"/>
      <c r="E20" s="108"/>
      <c r="F20" s="106" t="s">
        <v>165</v>
      </c>
      <c r="G20" s="106"/>
      <c r="H20" s="106"/>
      <c r="I20" s="106"/>
      <c r="J20" s="106"/>
    </row>
  </sheetData>
  <mergeCells count="7">
    <mergeCell ref="H18:K18"/>
    <mergeCell ref="E17:G17"/>
    <mergeCell ref="H19:J19"/>
    <mergeCell ref="F20:J20"/>
    <mergeCell ref="A18:B18"/>
    <mergeCell ref="A20:E20"/>
    <mergeCell ref="C18:G18"/>
  </mergeCells>
  <hyperlinks>
    <hyperlink ref="A18" r:id="rId1"/>
    <hyperlink ref="A19:B19" r:id="rId2" display="Online Conversion - Convert just about anything to anything else"/>
    <hyperlink ref="A20" r:id="rId3"/>
    <hyperlink ref="C18" r:id="rId4"/>
    <hyperlink ref="H18" r:id="rId5"/>
    <hyperlink ref="H19:J19" r:id="rId6" display="Welcome To The API Website"/>
    <hyperlink ref="F20" r:id="rId7"/>
  </hyperlinks>
  <pageMargins left="0.7" right="0.7" top="0.75" bottom="0.75" header="0.3" footer="0.3"/>
  <pageSetup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47"/>
  <sheetViews>
    <sheetView tabSelected="1" workbookViewId="0">
      <selection activeCell="J20" sqref="J20"/>
    </sheetView>
  </sheetViews>
  <sheetFormatPr defaultColWidth="8.75" defaultRowHeight="12"/>
  <cols>
    <col min="1" max="1" width="10.125" style="25" bestFit="1" customWidth="1"/>
    <col min="2" max="2" width="4.125" style="14" bestFit="1" customWidth="1"/>
    <col min="3" max="4" width="13.25" style="14" bestFit="1" customWidth="1"/>
    <col min="5" max="5" width="11.125" style="14" bestFit="1" customWidth="1"/>
    <col min="6" max="6" width="10.125" style="14" bestFit="1" customWidth="1"/>
    <col min="7" max="7" width="11.125" style="14" bestFit="1" customWidth="1"/>
    <col min="8" max="8" width="10.125" style="15" bestFit="1" customWidth="1"/>
    <col min="9" max="9" width="15.625" style="24" bestFit="1" customWidth="1"/>
    <col min="10" max="10" width="8.75" style="14"/>
    <col min="11" max="11" width="8.75" style="17"/>
    <col min="12" max="16384" width="8.75" style="14"/>
  </cols>
  <sheetData>
    <row r="1" spans="1:11" s="12" customFormat="1">
      <c r="A1" s="116" t="s">
        <v>8</v>
      </c>
      <c r="B1" s="117"/>
      <c r="C1" s="117"/>
      <c r="D1" s="117"/>
      <c r="E1" s="117"/>
      <c r="F1" s="117"/>
      <c r="G1" s="117"/>
      <c r="H1" s="117"/>
      <c r="I1" s="118"/>
      <c r="J1" s="65"/>
      <c r="K1" s="69"/>
    </row>
    <row r="2" spans="1:11" ht="12.75">
      <c r="A2" s="13" t="s">
        <v>10</v>
      </c>
      <c r="C2" s="14" t="s">
        <v>2</v>
      </c>
      <c r="D2" s="14" t="s">
        <v>3</v>
      </c>
      <c r="E2" s="14" t="s">
        <v>103</v>
      </c>
      <c r="F2" s="14" t="s">
        <v>101</v>
      </c>
      <c r="G2" s="14" t="s">
        <v>102</v>
      </c>
      <c r="H2" s="15" t="s">
        <v>100</v>
      </c>
      <c r="I2" s="66"/>
    </row>
    <row r="3" spans="1:11">
      <c r="A3" s="13">
        <v>100</v>
      </c>
      <c r="B3" s="14" t="s">
        <v>0</v>
      </c>
      <c r="C3" s="18">
        <v>100</v>
      </c>
      <c r="D3" s="19">
        <v>20</v>
      </c>
      <c r="E3" s="20">
        <v>20.3</v>
      </c>
      <c r="F3" s="99">
        <f>(MAX(E3,D3)-MIN(E3,D3))/16*100</f>
        <v>1.8750000000000044</v>
      </c>
      <c r="G3" s="20">
        <v>20.03</v>
      </c>
      <c r="H3" s="96">
        <f>(MAX(G3,D3)-MIN(G3,D3))/16*100</f>
        <v>0.18750000000000711</v>
      </c>
      <c r="I3" s="68" t="s">
        <v>9</v>
      </c>
    </row>
    <row r="4" spans="1:11">
      <c r="A4" s="13">
        <v>75</v>
      </c>
      <c r="C4" s="16">
        <f>(C3-C7)/4+C5</f>
        <v>75</v>
      </c>
      <c r="D4" s="19">
        <v>16</v>
      </c>
      <c r="E4" s="20">
        <v>15.89</v>
      </c>
      <c r="F4" s="99">
        <f t="shared" ref="F4:F6" si="0">(MAX(E4,D4)-MIN(E4,D4))/16*100</f>
        <v>0.68749999999999645</v>
      </c>
      <c r="G4" s="20">
        <v>16.02</v>
      </c>
      <c r="H4" s="96">
        <f t="shared" ref="H4:H7" si="1">(MAX(G4,D4)-MIN(G4,D4))/16*100</f>
        <v>0.12499999999999734</v>
      </c>
      <c r="I4" s="105" t="str">
        <f>IF(D8&gt;G8,"FAIL","PASS")</f>
        <v>FAIL</v>
      </c>
    </row>
    <row r="5" spans="1:11">
      <c r="A5" s="13">
        <v>50</v>
      </c>
      <c r="C5" s="16">
        <f>(C3-C7)/4+C6</f>
        <v>50</v>
      </c>
      <c r="D5" s="19">
        <v>12</v>
      </c>
      <c r="E5" s="20">
        <v>12.09</v>
      </c>
      <c r="F5" s="99">
        <f t="shared" si="0"/>
        <v>0.56249999999999911</v>
      </c>
      <c r="G5" s="20">
        <v>12.03</v>
      </c>
      <c r="H5" s="96">
        <f t="shared" si="1"/>
        <v>0.187499999999996</v>
      </c>
      <c r="I5" s="68" t="s">
        <v>12</v>
      </c>
    </row>
    <row r="6" spans="1:11">
      <c r="A6" s="13">
        <v>25</v>
      </c>
      <c r="C6" s="16">
        <f>(C3-C7)/4+C7</f>
        <v>25</v>
      </c>
      <c r="D6" s="19">
        <v>8</v>
      </c>
      <c r="E6" s="20">
        <v>7.95</v>
      </c>
      <c r="F6" s="99">
        <f t="shared" si="0"/>
        <v>0.31249999999999889</v>
      </c>
      <c r="G6" s="20">
        <v>8.0500000000000007</v>
      </c>
      <c r="H6" s="96">
        <f t="shared" si="1"/>
        <v>0.31250000000000444</v>
      </c>
      <c r="I6" s="67">
        <f>((MAX(C3,C7))-(MIN(C3,C7)))*D8/100</f>
        <v>0.45625000000000027</v>
      </c>
    </row>
    <row r="7" spans="1:11">
      <c r="A7" s="13">
        <v>0</v>
      </c>
      <c r="B7" s="14" t="s">
        <v>1</v>
      </c>
      <c r="C7" s="18">
        <v>0</v>
      </c>
      <c r="D7" s="19">
        <v>4</v>
      </c>
      <c r="E7" s="20">
        <v>3.95</v>
      </c>
      <c r="F7" s="99">
        <f>(MAX(E7,D7)-MIN(E7,D7))/16*100</f>
        <v>0.31249999999999889</v>
      </c>
      <c r="G7" s="20">
        <v>4</v>
      </c>
      <c r="H7" s="99">
        <f t="shared" si="1"/>
        <v>0</v>
      </c>
      <c r="I7" s="68" t="s">
        <v>52</v>
      </c>
    </row>
    <row r="8" spans="1:11" s="34" customFormat="1">
      <c r="A8" s="113" t="s">
        <v>6</v>
      </c>
      <c r="B8" s="114"/>
      <c r="C8" s="115"/>
      <c r="D8" s="100">
        <f>AVERAGE(F3:F7,H3:H7)</f>
        <v>0.45625000000000027</v>
      </c>
      <c r="E8" s="112" t="s">
        <v>7</v>
      </c>
      <c r="F8" s="112"/>
      <c r="G8" s="28">
        <v>0.4</v>
      </c>
      <c r="H8" s="29"/>
      <c r="I8" s="101" t="s">
        <v>92</v>
      </c>
      <c r="J8" s="14"/>
      <c r="K8" s="77"/>
    </row>
    <row r="9" spans="1:11" s="80" customFormat="1" ht="13.5">
      <c r="A9" s="119" t="s">
        <v>108</v>
      </c>
      <c r="B9" s="120"/>
      <c r="C9" s="121"/>
      <c r="D9" s="119" t="s">
        <v>109</v>
      </c>
      <c r="E9" s="121"/>
      <c r="F9" s="119" t="s">
        <v>110</v>
      </c>
      <c r="G9" s="121"/>
      <c r="H9" s="119" t="s">
        <v>111</v>
      </c>
      <c r="I9" s="120"/>
      <c r="K9" s="81"/>
    </row>
    <row r="10" spans="1:11" s="79" customFormat="1">
      <c r="A10" s="26"/>
      <c r="B10" s="27"/>
      <c r="C10" s="27"/>
      <c r="D10" s="27"/>
      <c r="E10" s="27"/>
      <c r="F10" s="27"/>
      <c r="G10" s="27"/>
      <c r="H10" s="27"/>
      <c r="I10" s="24"/>
      <c r="J10" s="14"/>
      <c r="K10" s="78"/>
    </row>
    <row r="11" spans="1:11">
      <c r="A11" s="110"/>
      <c r="B11" s="27"/>
      <c r="C11" s="27"/>
      <c r="D11" s="27"/>
      <c r="E11" s="27"/>
      <c r="F11" s="27"/>
      <c r="G11" s="27"/>
      <c r="H11" s="27"/>
    </row>
    <row r="12" spans="1:11">
      <c r="A12" s="110"/>
      <c r="B12" s="27"/>
      <c r="C12" s="27"/>
      <c r="D12" s="27"/>
      <c r="E12" s="27"/>
      <c r="F12" s="27"/>
      <c r="G12" s="27"/>
      <c r="H12" s="27"/>
    </row>
    <row r="13" spans="1:11">
      <c r="A13" s="26"/>
      <c r="B13" s="27"/>
      <c r="C13" s="27"/>
      <c r="D13" s="27"/>
      <c r="E13" s="27"/>
      <c r="F13" s="27"/>
      <c r="G13" s="27"/>
      <c r="H13" s="27"/>
    </row>
    <row r="14" spans="1:11">
      <c r="A14" s="26"/>
      <c r="B14" s="27"/>
      <c r="C14" s="27"/>
      <c r="D14" s="27"/>
      <c r="E14" s="27"/>
      <c r="F14" s="27"/>
      <c r="G14" s="27"/>
      <c r="H14" s="27"/>
    </row>
    <row r="15" spans="1:11">
      <c r="A15" s="26"/>
      <c r="B15" s="27"/>
      <c r="C15" s="27"/>
      <c r="D15" s="27"/>
      <c r="E15" s="27"/>
      <c r="F15" s="27"/>
      <c r="G15" s="27"/>
      <c r="H15" s="27"/>
    </row>
    <row r="16" spans="1:11">
      <c r="A16" s="26"/>
      <c r="B16" s="27"/>
      <c r="C16" s="27"/>
      <c r="D16" s="27"/>
      <c r="E16" s="27"/>
      <c r="F16" s="27"/>
      <c r="G16" s="27"/>
      <c r="H16" s="27"/>
    </row>
    <row r="17" spans="1:10">
      <c r="A17" s="26"/>
      <c r="B17" s="27"/>
      <c r="C17" s="27"/>
      <c r="D17" s="27"/>
      <c r="E17" s="27"/>
      <c r="F17" s="27"/>
      <c r="G17" s="27"/>
      <c r="H17" s="27"/>
    </row>
    <row r="18" spans="1:10">
      <c r="A18" s="26"/>
      <c r="B18" s="27"/>
      <c r="C18" s="27"/>
      <c r="D18" s="27"/>
      <c r="E18" s="27"/>
      <c r="F18" s="27"/>
      <c r="G18" s="27"/>
      <c r="H18" s="27"/>
    </row>
    <row r="19" spans="1:10">
      <c r="A19" s="26"/>
      <c r="B19" s="27"/>
      <c r="C19" s="27"/>
      <c r="D19" s="27"/>
      <c r="E19" s="27"/>
      <c r="F19" s="27"/>
      <c r="G19" s="27"/>
      <c r="H19" s="27"/>
    </row>
    <row r="20" spans="1:10">
      <c r="A20" s="26"/>
      <c r="B20" s="27"/>
      <c r="C20" s="27"/>
      <c r="D20" s="27"/>
      <c r="E20" s="27"/>
      <c r="F20" s="27"/>
      <c r="G20" s="27"/>
      <c r="H20" s="27"/>
    </row>
    <row r="21" spans="1:10">
      <c r="A21" s="26"/>
      <c r="B21" s="27"/>
      <c r="C21" s="27"/>
      <c r="D21" s="27"/>
      <c r="E21" s="27"/>
      <c r="F21" s="27"/>
      <c r="G21" s="27"/>
      <c r="H21" s="27"/>
    </row>
    <row r="22" spans="1:10">
      <c r="A22" s="26"/>
      <c r="B22" s="27"/>
      <c r="C22" s="27"/>
      <c r="D22" s="27"/>
      <c r="E22" s="27"/>
      <c r="F22" s="27"/>
      <c r="G22" s="27"/>
      <c r="H22" s="27"/>
    </row>
    <row r="23" spans="1:10">
      <c r="A23" s="26"/>
      <c r="B23" s="27"/>
      <c r="C23" s="30"/>
      <c r="D23" s="30"/>
      <c r="E23" s="30"/>
      <c r="F23" s="27"/>
      <c r="G23" s="30"/>
      <c r="H23" s="27"/>
    </row>
    <row r="24" spans="1:10">
      <c r="A24" s="26"/>
      <c r="B24" s="27"/>
      <c r="C24" s="30"/>
      <c r="D24" s="111"/>
      <c r="E24" s="111"/>
      <c r="F24" s="27"/>
      <c r="G24" s="30"/>
      <c r="H24" s="27"/>
    </row>
    <row r="25" spans="1:10">
      <c r="A25" s="26"/>
      <c r="B25" s="27"/>
      <c r="C25" s="27"/>
      <c r="D25" s="27"/>
      <c r="E25" s="27"/>
      <c r="F25" s="27"/>
      <c r="G25" s="27"/>
      <c r="H25" s="27"/>
    </row>
    <row r="26" spans="1:10">
      <c r="A26" s="26"/>
      <c r="B26" s="27"/>
      <c r="C26" s="27"/>
      <c r="D26" s="27"/>
      <c r="E26" s="27"/>
      <c r="F26" s="27"/>
      <c r="G26" s="27"/>
      <c r="H26" s="27"/>
    </row>
    <row r="27" spans="1:10">
      <c r="A27" s="26"/>
      <c r="B27" s="27"/>
      <c r="C27" s="27"/>
      <c r="D27" s="27"/>
      <c r="E27" s="27"/>
      <c r="F27" s="27"/>
      <c r="G27" s="27"/>
      <c r="H27" s="27"/>
    </row>
    <row r="28" spans="1:10">
      <c r="A28" s="26"/>
      <c r="B28" s="27"/>
      <c r="C28" s="27"/>
      <c r="D28" s="27"/>
      <c r="E28" s="27"/>
      <c r="F28" s="27"/>
      <c r="G28" s="27"/>
      <c r="H28" s="27"/>
    </row>
    <row r="29" spans="1:10">
      <c r="A29" s="26"/>
      <c r="B29" s="27"/>
      <c r="C29" s="27"/>
      <c r="D29" s="27"/>
      <c r="E29" s="27"/>
      <c r="F29" s="27"/>
      <c r="G29" s="27"/>
      <c r="H29" s="27"/>
    </row>
    <row r="30" spans="1:10">
      <c r="A30" s="26"/>
      <c r="B30" s="27"/>
      <c r="C30" s="27"/>
      <c r="D30" s="27"/>
      <c r="E30" s="27"/>
      <c r="F30" s="27"/>
      <c r="G30" s="27"/>
      <c r="H30" s="27"/>
    </row>
    <row r="31" spans="1:10">
      <c r="A31" s="26"/>
      <c r="B31" s="27"/>
      <c r="C31" s="27"/>
      <c r="D31" s="27"/>
      <c r="E31" s="27"/>
      <c r="F31" s="27"/>
      <c r="G31" s="27"/>
      <c r="H31" s="27"/>
    </row>
    <row r="32" spans="1:10" s="27" customFormat="1">
      <c r="A32" s="26"/>
      <c r="I32" s="24"/>
      <c r="J32" s="14"/>
    </row>
    <row r="33" spans="1:11" s="13" customFormat="1">
      <c r="A33" s="31" t="s">
        <v>166</v>
      </c>
      <c r="B33" s="109" t="s">
        <v>167</v>
      </c>
      <c r="C33" s="109"/>
      <c r="D33" s="90" t="s">
        <v>128</v>
      </c>
      <c r="E33" s="91" t="s">
        <v>120</v>
      </c>
      <c r="F33" s="92" t="s">
        <v>142</v>
      </c>
      <c r="G33" s="93">
        <v>2011</v>
      </c>
      <c r="I33" s="74"/>
      <c r="K33" s="89"/>
    </row>
    <row r="34" spans="1:11">
      <c r="H34" s="14"/>
      <c r="I34" s="22"/>
      <c r="K34" s="14"/>
    </row>
    <row r="35" spans="1:11">
      <c r="H35" s="14"/>
      <c r="I35" s="22"/>
      <c r="K35" s="14"/>
    </row>
    <row r="36" spans="1:11" s="79" customFormat="1">
      <c r="A36" s="140"/>
      <c r="H36" s="141"/>
      <c r="I36" s="22"/>
      <c r="K36" s="78"/>
    </row>
    <row r="37" spans="1:11">
      <c r="I37" s="22"/>
    </row>
    <row r="38" spans="1:11">
      <c r="I38" s="22"/>
    </row>
    <row r="39" spans="1:11">
      <c r="I39" s="22"/>
    </row>
    <row r="40" spans="1:11">
      <c r="I40" s="22"/>
    </row>
    <row r="41" spans="1:11">
      <c r="I41" s="22"/>
    </row>
    <row r="42" spans="1:11">
      <c r="I42" s="22"/>
    </row>
    <row r="43" spans="1:11">
      <c r="I43" s="22"/>
    </row>
    <row r="44" spans="1:11">
      <c r="I44" s="22"/>
    </row>
    <row r="45" spans="1:11">
      <c r="I45" s="22"/>
    </row>
    <row r="46" spans="1:11">
      <c r="I46" s="22"/>
    </row>
    <row r="47" spans="1:11">
      <c r="I47" s="22"/>
    </row>
  </sheetData>
  <mergeCells count="10">
    <mergeCell ref="A1:I1"/>
    <mergeCell ref="A9:C9"/>
    <mergeCell ref="D9:E9"/>
    <mergeCell ref="F9:G9"/>
    <mergeCell ref="H9:I9"/>
    <mergeCell ref="B33:C33"/>
    <mergeCell ref="A11:A12"/>
    <mergeCell ref="D24:E24"/>
    <mergeCell ref="E8:F8"/>
    <mergeCell ref="A8:C8"/>
  </mergeCells>
  <dataValidations xWindow="949" yWindow="414" count="4">
    <dataValidation type="list" allowBlank="1" showInputMessage="1" showErrorMessage="1" sqref="I7">
      <formula1>Units!$A$3:$A$200</formula1>
    </dataValidation>
    <dataValidation type="list" allowBlank="1" showInputMessage="1" showErrorMessage="1" sqref="E33">
      <formula1>Units!$C$3:$C$14</formula1>
    </dataValidation>
    <dataValidation type="list" allowBlank="1" showInputMessage="1" showErrorMessage="1" sqref="F33">
      <formula1>Units!$D$3:$D$33</formula1>
    </dataValidation>
    <dataValidation type="list" allowBlank="1" showInputMessage="1" showErrorMessage="1" sqref="G33">
      <formula1>Units!$E$3:$E$22</formula1>
    </dataValidation>
  </dataValidations>
  <printOptions horizontalCentered="1" verticalCentered="1"/>
  <pageMargins left="0.25" right="0.25" top="0.75" bottom="0.75" header="0.3" footer="0.3"/>
  <pageSetup scale="115" orientation="landscape" r:id="rId1"/>
  <headerFooter alignWithMargins="0"/>
  <customProperties>
    <customPr name="DVSECTION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M34"/>
  <sheetViews>
    <sheetView workbookViewId="0">
      <selection activeCell="J12" sqref="J12"/>
    </sheetView>
  </sheetViews>
  <sheetFormatPr defaultColWidth="8.75" defaultRowHeight="12.75"/>
  <cols>
    <col min="1" max="1" width="9.25" style="50" bestFit="1" customWidth="1"/>
    <col min="2" max="2" width="4.625" style="37" bestFit="1" customWidth="1"/>
    <col min="3" max="3" width="14.125" style="37" customWidth="1"/>
    <col min="4" max="4" width="13.25" style="38" bestFit="1" customWidth="1"/>
    <col min="5" max="5" width="10.5" style="38" customWidth="1"/>
    <col min="6" max="6" width="10.125" style="38" bestFit="1" customWidth="1"/>
    <col min="7" max="7" width="10.5" style="38" customWidth="1"/>
    <col min="8" max="8" width="10.125" style="37" bestFit="1" customWidth="1"/>
    <col min="9" max="9" width="16.875" style="38" customWidth="1"/>
    <col min="10" max="10" width="10.625" style="38" customWidth="1"/>
    <col min="11" max="16384" width="8.75" style="37"/>
  </cols>
  <sheetData>
    <row r="1" spans="1:13" s="12" customFormat="1" thickBot="1">
      <c r="A1" s="128" t="s">
        <v>11</v>
      </c>
      <c r="B1" s="129"/>
      <c r="C1" s="129"/>
      <c r="D1" s="129"/>
      <c r="E1" s="129"/>
      <c r="F1" s="129"/>
      <c r="G1" s="129"/>
      <c r="H1" s="129"/>
      <c r="I1" s="130"/>
      <c r="J1" s="65"/>
    </row>
    <row r="2" spans="1:13">
      <c r="A2" s="51" t="s">
        <v>10</v>
      </c>
      <c r="B2" s="52"/>
      <c r="C2" s="52" t="s">
        <v>2</v>
      </c>
      <c r="D2" s="53" t="s">
        <v>3</v>
      </c>
      <c r="E2" s="53" t="s">
        <v>99</v>
      </c>
      <c r="F2" s="53" t="s">
        <v>98</v>
      </c>
      <c r="G2" s="53" t="s">
        <v>97</v>
      </c>
      <c r="H2" s="52" t="s">
        <v>96</v>
      </c>
      <c r="I2" s="54"/>
      <c r="J2" s="36"/>
    </row>
    <row r="3" spans="1:13">
      <c r="A3" s="55">
        <v>100</v>
      </c>
      <c r="B3" s="14" t="s">
        <v>0</v>
      </c>
      <c r="C3" s="18">
        <v>200</v>
      </c>
      <c r="D3" s="56">
        <v>5</v>
      </c>
      <c r="E3" s="57">
        <v>5.0199999999999996</v>
      </c>
      <c r="F3" s="97">
        <f>(MAX(E3,D3)-MIN(E3,D3))/4*100</f>
        <v>0.49999999999998934</v>
      </c>
      <c r="G3" s="57">
        <v>5</v>
      </c>
      <c r="H3" s="96">
        <f>(MAX(G3,D3)-MIN(G3,D3))/4*100</f>
        <v>0</v>
      </c>
      <c r="I3" s="11" t="s">
        <v>9</v>
      </c>
      <c r="J3" s="36"/>
    </row>
    <row r="4" spans="1:13">
      <c r="A4" s="55">
        <v>75</v>
      </c>
      <c r="B4" s="14"/>
      <c r="C4" s="16">
        <f>(C3-C7)/4+C5</f>
        <v>150</v>
      </c>
      <c r="D4" s="56">
        <v>4</v>
      </c>
      <c r="E4" s="57">
        <v>4</v>
      </c>
      <c r="F4" s="97">
        <f t="shared" ref="F4:F7" si="0">(MAX(E4,D4)-MIN(E4,D4))/4*100</f>
        <v>0</v>
      </c>
      <c r="G4" s="57">
        <v>4</v>
      </c>
      <c r="H4" s="96">
        <f t="shared" ref="H4:H7" si="1">(MAX(G4,D4)-MIN(G4,D4))/4*100</f>
        <v>0</v>
      </c>
      <c r="I4" s="104" t="str">
        <f>IF(D8&gt;G8,"FAIL","PASS")</f>
        <v>PASS</v>
      </c>
      <c r="J4" s="39"/>
    </row>
    <row r="5" spans="1:13">
      <c r="A5" s="55">
        <v>50</v>
      </c>
      <c r="B5" s="14"/>
      <c r="C5" s="16">
        <f>(C3-C7)/4+C6</f>
        <v>100</v>
      </c>
      <c r="D5" s="56">
        <v>3</v>
      </c>
      <c r="E5" s="57">
        <v>3.02</v>
      </c>
      <c r="F5" s="97">
        <f t="shared" si="0"/>
        <v>0.50000000000000044</v>
      </c>
      <c r="G5" s="57">
        <v>3.02</v>
      </c>
      <c r="H5" s="96">
        <f t="shared" si="1"/>
        <v>0.50000000000000044</v>
      </c>
      <c r="I5" s="11" t="s">
        <v>12</v>
      </c>
      <c r="J5" s="36"/>
      <c r="K5" s="40"/>
    </row>
    <row r="6" spans="1:13">
      <c r="A6" s="55">
        <v>25</v>
      </c>
      <c r="B6" s="14"/>
      <c r="C6" s="16">
        <f>(C3-C7)/4+C7</f>
        <v>50</v>
      </c>
      <c r="D6" s="56">
        <v>2</v>
      </c>
      <c r="E6" s="57">
        <v>2.0499999999999998</v>
      </c>
      <c r="F6" s="97">
        <f t="shared" si="0"/>
        <v>1.2499999999999956</v>
      </c>
      <c r="G6" s="57">
        <v>2</v>
      </c>
      <c r="H6" s="96">
        <f t="shared" si="1"/>
        <v>0</v>
      </c>
      <c r="I6" s="21">
        <f>((MAX(C3,C7))-(MIN(C3,C7)))*D8/100</f>
        <v>0.69999999999999729</v>
      </c>
      <c r="J6" s="41"/>
      <c r="K6" s="42"/>
    </row>
    <row r="7" spans="1:13" s="43" customFormat="1">
      <c r="A7" s="58">
        <v>0</v>
      </c>
      <c r="B7" s="34" t="s">
        <v>1</v>
      </c>
      <c r="C7" s="59">
        <v>0</v>
      </c>
      <c r="D7" s="70">
        <v>1</v>
      </c>
      <c r="E7" s="60">
        <v>1.03</v>
      </c>
      <c r="F7" s="97">
        <f t="shared" si="0"/>
        <v>0.75000000000000067</v>
      </c>
      <c r="G7" s="60">
        <v>1</v>
      </c>
      <c r="H7" s="96">
        <f t="shared" si="1"/>
        <v>0</v>
      </c>
      <c r="I7" s="71" t="s">
        <v>112</v>
      </c>
      <c r="J7" s="39"/>
    </row>
    <row r="8" spans="1:13" s="61" customFormat="1" ht="13.5">
      <c r="A8" s="127" t="s">
        <v>6</v>
      </c>
      <c r="B8" s="127"/>
      <c r="C8" s="127"/>
      <c r="D8" s="72">
        <f>AVERAGE(F3:F7,H3:H7)</f>
        <v>0.34999999999999865</v>
      </c>
      <c r="E8" s="124" t="s">
        <v>7</v>
      </c>
      <c r="F8" s="124"/>
      <c r="G8" s="73">
        <v>0.5</v>
      </c>
      <c r="I8" s="102" t="s">
        <v>92</v>
      </c>
      <c r="J8" s="62"/>
    </row>
    <row r="9" spans="1:13" s="76" customFormat="1" ht="13.5">
      <c r="A9" s="119" t="s">
        <v>104</v>
      </c>
      <c r="B9" s="120"/>
      <c r="C9" s="121"/>
      <c r="D9" s="119" t="s">
        <v>105</v>
      </c>
      <c r="E9" s="121"/>
      <c r="F9" s="119" t="s">
        <v>107</v>
      </c>
      <c r="G9" s="121"/>
      <c r="H9" s="119" t="s">
        <v>106</v>
      </c>
      <c r="I9" s="121"/>
      <c r="J9" s="75"/>
    </row>
    <row r="10" spans="1:13" s="45" customFormat="1">
      <c r="A10" s="44"/>
      <c r="D10" s="46"/>
      <c r="E10" s="46"/>
      <c r="F10" s="46"/>
      <c r="G10" s="46"/>
      <c r="I10" s="46"/>
      <c r="J10" s="63"/>
      <c r="K10" s="64"/>
      <c r="L10" s="64"/>
      <c r="M10" s="64"/>
    </row>
    <row r="11" spans="1:13" s="45" customFormat="1">
      <c r="A11" s="47"/>
      <c r="D11" s="46"/>
      <c r="E11" s="46"/>
      <c r="F11" s="46"/>
      <c r="G11" s="46"/>
      <c r="I11" s="46"/>
      <c r="J11" s="38"/>
      <c r="K11" s="37"/>
      <c r="L11" s="37"/>
      <c r="M11" s="37"/>
    </row>
    <row r="12" spans="1:13" s="45" customFormat="1">
      <c r="A12" s="47"/>
      <c r="D12" s="46"/>
      <c r="E12" s="46"/>
      <c r="F12" s="46"/>
      <c r="G12" s="46"/>
      <c r="I12" s="46"/>
      <c r="J12" s="38"/>
      <c r="K12" s="37"/>
      <c r="L12" s="37"/>
      <c r="M12" s="37"/>
    </row>
    <row r="13" spans="1:13" s="45" customFormat="1">
      <c r="A13" s="44"/>
      <c r="D13" s="46"/>
      <c r="E13" s="46"/>
      <c r="F13" s="46"/>
      <c r="G13" s="46"/>
      <c r="I13" s="46"/>
      <c r="J13" s="38"/>
      <c r="K13" s="37"/>
      <c r="L13" s="37"/>
      <c r="M13" s="37"/>
    </row>
    <row r="14" spans="1:13" s="45" customFormat="1">
      <c r="A14" s="44"/>
      <c r="D14" s="46"/>
      <c r="E14" s="46"/>
      <c r="F14" s="46"/>
      <c r="G14" s="46"/>
      <c r="I14" s="46"/>
      <c r="J14" s="38"/>
      <c r="K14" s="37"/>
      <c r="L14" s="37"/>
      <c r="M14" s="37"/>
    </row>
    <row r="15" spans="1:13" s="45" customFormat="1">
      <c r="A15" s="44"/>
      <c r="D15" s="46"/>
      <c r="E15" s="46"/>
      <c r="F15" s="46"/>
      <c r="G15" s="46"/>
      <c r="I15" s="46"/>
      <c r="J15" s="38"/>
      <c r="K15" s="37"/>
      <c r="L15" s="37"/>
      <c r="M15" s="37"/>
    </row>
    <row r="16" spans="1:13" s="45" customFormat="1">
      <c r="A16" s="44"/>
      <c r="D16" s="46"/>
      <c r="E16" s="46"/>
      <c r="F16" s="46"/>
      <c r="G16" s="46"/>
      <c r="I16" s="46"/>
      <c r="J16" s="38"/>
      <c r="K16" s="37"/>
      <c r="L16" s="37"/>
      <c r="M16" s="37"/>
    </row>
    <row r="17" spans="1:13" s="45" customFormat="1">
      <c r="A17" s="44"/>
      <c r="D17" s="46"/>
      <c r="E17" s="46"/>
      <c r="F17" s="46"/>
      <c r="G17" s="46"/>
      <c r="I17" s="46"/>
      <c r="J17" s="38"/>
      <c r="K17" s="37"/>
      <c r="L17" s="37"/>
      <c r="M17" s="37"/>
    </row>
    <row r="18" spans="1:13" s="45" customFormat="1">
      <c r="A18" s="44"/>
      <c r="D18" s="46"/>
      <c r="E18" s="46"/>
      <c r="F18" s="46"/>
      <c r="G18" s="46"/>
      <c r="I18" s="46"/>
      <c r="J18" s="38"/>
      <c r="K18" s="37"/>
      <c r="L18" s="37"/>
      <c r="M18" s="37"/>
    </row>
    <row r="19" spans="1:13" s="45" customFormat="1">
      <c r="A19" s="44"/>
      <c r="D19" s="46"/>
      <c r="E19" s="46"/>
      <c r="F19" s="46"/>
      <c r="G19" s="46"/>
      <c r="I19" s="46"/>
      <c r="J19" s="38"/>
      <c r="K19" s="37"/>
      <c r="L19" s="37"/>
      <c r="M19" s="37"/>
    </row>
    <row r="20" spans="1:13" s="45" customFormat="1">
      <c r="A20" s="44"/>
      <c r="D20" s="46"/>
      <c r="E20" s="46"/>
      <c r="F20" s="46"/>
      <c r="G20" s="46"/>
      <c r="I20" s="46"/>
      <c r="J20" s="38"/>
      <c r="K20" s="37"/>
      <c r="L20" s="37"/>
      <c r="M20" s="37"/>
    </row>
    <row r="21" spans="1:13" s="45" customFormat="1">
      <c r="A21" s="44"/>
      <c r="D21" s="46"/>
      <c r="E21" s="46"/>
      <c r="F21" s="46"/>
      <c r="G21" s="46"/>
      <c r="I21" s="46"/>
      <c r="J21" s="38"/>
      <c r="K21" s="37"/>
      <c r="L21" s="37"/>
      <c r="M21" s="37"/>
    </row>
    <row r="22" spans="1:13" s="45" customFormat="1">
      <c r="A22" s="44"/>
      <c r="D22" s="46"/>
      <c r="E22" s="46"/>
      <c r="F22" s="46"/>
      <c r="G22" s="46"/>
      <c r="I22" s="46"/>
      <c r="J22" s="38"/>
      <c r="K22" s="37"/>
      <c r="L22" s="37"/>
      <c r="M22" s="37"/>
    </row>
    <row r="23" spans="1:13" s="45" customFormat="1">
      <c r="A23" s="44"/>
      <c r="C23" s="48"/>
      <c r="D23" s="48"/>
      <c r="E23" s="48"/>
      <c r="F23" s="46"/>
      <c r="G23" s="48"/>
      <c r="I23" s="46"/>
      <c r="J23" s="38"/>
      <c r="K23" s="37"/>
      <c r="L23" s="37"/>
      <c r="M23" s="37"/>
    </row>
    <row r="24" spans="1:13" s="45" customFormat="1">
      <c r="A24" s="44"/>
      <c r="C24" s="48"/>
      <c r="D24" s="125"/>
      <c r="E24" s="126"/>
      <c r="F24" s="46"/>
      <c r="G24" s="48"/>
      <c r="I24" s="46"/>
      <c r="J24" s="38"/>
      <c r="K24" s="37"/>
      <c r="L24" s="37"/>
      <c r="M24" s="37"/>
    </row>
    <row r="25" spans="1:13" s="45" customFormat="1">
      <c r="A25" s="44"/>
      <c r="D25" s="46"/>
      <c r="E25" s="46"/>
      <c r="F25" s="46"/>
      <c r="G25" s="46"/>
      <c r="I25" s="46"/>
      <c r="J25" s="38"/>
      <c r="K25" s="37"/>
      <c r="L25" s="37"/>
      <c r="M25" s="37"/>
    </row>
    <row r="26" spans="1:13" s="45" customFormat="1">
      <c r="A26" s="44"/>
      <c r="D26" s="46"/>
      <c r="E26" s="46"/>
      <c r="F26" s="46"/>
      <c r="G26" s="46"/>
      <c r="I26" s="46"/>
      <c r="J26" s="49"/>
      <c r="K26" s="43"/>
      <c r="L26" s="43"/>
      <c r="M26" s="43"/>
    </row>
    <row r="27" spans="1:13">
      <c r="A27" s="44"/>
      <c r="B27" s="45"/>
      <c r="C27" s="45"/>
      <c r="D27" s="46"/>
      <c r="E27" s="46"/>
      <c r="F27" s="46"/>
      <c r="G27" s="46"/>
      <c r="H27" s="45"/>
      <c r="I27" s="46"/>
      <c r="J27" s="36"/>
    </row>
    <row r="28" spans="1:13">
      <c r="A28" s="44"/>
      <c r="B28" s="45"/>
      <c r="C28" s="45"/>
      <c r="D28" s="46"/>
      <c r="E28" s="46"/>
      <c r="F28" s="46"/>
      <c r="G28" s="46"/>
      <c r="H28" s="45"/>
      <c r="I28" s="46"/>
      <c r="J28" s="36"/>
    </row>
    <row r="29" spans="1:13">
      <c r="A29" s="44"/>
      <c r="B29" s="45"/>
      <c r="C29" s="45"/>
      <c r="D29" s="46"/>
      <c r="E29" s="46"/>
      <c r="F29" s="46"/>
      <c r="G29" s="46"/>
      <c r="H29" s="45"/>
      <c r="I29" s="46"/>
      <c r="J29" s="36"/>
    </row>
    <row r="30" spans="1:13">
      <c r="A30" s="44"/>
      <c r="B30" s="45"/>
      <c r="C30" s="45"/>
      <c r="D30" s="46"/>
      <c r="E30" s="46"/>
      <c r="F30" s="46"/>
      <c r="G30" s="46"/>
      <c r="H30" s="45"/>
      <c r="I30" s="46"/>
      <c r="J30" s="36"/>
    </row>
    <row r="31" spans="1:13">
      <c r="A31" s="44"/>
      <c r="B31" s="45"/>
      <c r="C31" s="45"/>
      <c r="D31" s="46"/>
      <c r="E31" s="46"/>
      <c r="F31" s="46"/>
      <c r="G31" s="46"/>
      <c r="H31" s="45"/>
      <c r="I31" s="46"/>
      <c r="J31" s="36"/>
    </row>
    <row r="32" spans="1:13" s="43" customFormat="1">
      <c r="A32" s="44"/>
      <c r="B32" s="45"/>
      <c r="C32" s="45"/>
      <c r="D32" s="46"/>
      <c r="E32" s="46"/>
      <c r="F32" s="46"/>
      <c r="G32" s="46"/>
      <c r="H32" s="45"/>
      <c r="I32" s="46"/>
      <c r="J32" s="39"/>
    </row>
    <row r="33" spans="1:10">
      <c r="A33" s="31" t="s">
        <v>166</v>
      </c>
      <c r="B33" s="122"/>
      <c r="C33" s="123"/>
      <c r="D33" s="90" t="s">
        <v>128</v>
      </c>
      <c r="E33" s="91" t="s">
        <v>120</v>
      </c>
      <c r="F33" s="92" t="s">
        <v>142</v>
      </c>
      <c r="G33" s="93">
        <v>2011</v>
      </c>
    </row>
    <row r="34" spans="1:10" s="64" customFormat="1">
      <c r="A34" s="88"/>
      <c r="D34" s="63"/>
      <c r="E34" s="63"/>
      <c r="F34" s="63"/>
      <c r="G34" s="63"/>
      <c r="I34" s="63"/>
      <c r="J34" s="63"/>
    </row>
  </sheetData>
  <mergeCells count="9">
    <mergeCell ref="B33:C33"/>
    <mergeCell ref="E8:F8"/>
    <mergeCell ref="D24:E24"/>
    <mergeCell ref="A8:C8"/>
    <mergeCell ref="A1:I1"/>
    <mergeCell ref="A9:C9"/>
    <mergeCell ref="D9:E9"/>
    <mergeCell ref="F9:G9"/>
    <mergeCell ref="H9:I9"/>
  </mergeCells>
  <dataValidations xWindow="984" yWindow="421" count="4">
    <dataValidation type="list" allowBlank="1" showInputMessage="1" showErrorMessage="1" sqref="I7">
      <formula1>Units!$A$3:$A$200</formula1>
    </dataValidation>
    <dataValidation type="list" allowBlank="1" showInputMessage="1" showErrorMessage="1" sqref="G33">
      <formula1>Units!$E$3:$E$22</formula1>
    </dataValidation>
    <dataValidation type="list" allowBlank="1" showInputMessage="1" showErrorMessage="1" sqref="F33">
      <formula1>Units!$D$3:$D$33</formula1>
    </dataValidation>
    <dataValidation type="list" allowBlank="1" showInputMessage="1" showErrorMessage="1" sqref="E33">
      <formula1>Units!$C$3:$C$14</formula1>
    </dataValidation>
  </dataValidations>
  <printOptions horizontalCentered="1" verticalCentered="1"/>
  <pageMargins left="0.25" right="0.25" top="0.75" bottom="0.75" header="0.3" footer="0.3"/>
  <pageSetup scale="115" orientation="landscape" r:id="rId1"/>
  <headerFooter alignWithMargins="0">
    <oddHeader>&amp;LTechnician:&amp;CMark Weisner</oddHeader>
  </headerFooter>
  <customProperties>
    <customPr name="DVSECTION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IV22"/>
  <sheetViews>
    <sheetView workbookViewId="0">
      <selection activeCell="A9" sqref="A9"/>
    </sheetView>
  </sheetViews>
  <sheetFormatPr defaultRowHeight="14.25"/>
  <sheetData>
    <row r="1" spans="1:256">
      <c r="A1" t="e">
        <f>IF('4-20 mA'!2:2,"AAAAADb39gA=",0)</f>
        <v>#VALUE!</v>
      </c>
      <c r="B1" t="e">
        <f>AND('4-20 mA'!A2,"AAAAADb39gE=")</f>
        <v>#VALUE!</v>
      </c>
      <c r="C1" t="e">
        <f>AND('4-20 mA'!B2,"AAAAADb39gI=")</f>
        <v>#VALUE!</v>
      </c>
      <c r="D1" t="e">
        <f>AND('4-20 mA'!C2,"AAAAADb39gM=")</f>
        <v>#VALUE!</v>
      </c>
      <c r="E1" t="e">
        <f>AND('4-20 mA'!D2,"AAAAADb39gQ=")</f>
        <v>#VALUE!</v>
      </c>
      <c r="F1" t="e">
        <f>AND('4-20 mA'!E2,"AAAAADb39gU=")</f>
        <v>#VALUE!</v>
      </c>
      <c r="G1" t="e">
        <f>AND('4-20 mA'!G2,"AAAAADb39gY=")</f>
        <v>#VALUE!</v>
      </c>
      <c r="H1" t="e">
        <f>AND('4-20 mA'!F2,"AAAAADb39gc=")</f>
        <v>#VALUE!</v>
      </c>
      <c r="I1" t="e">
        <f>AND('4-20 mA'!H2,"AAAAADb39gg=")</f>
        <v>#VALUE!</v>
      </c>
      <c r="J1" t="e">
        <f>AND('4-20 mA'!#REF!,"AAAAADb39gk=")</f>
        <v>#REF!</v>
      </c>
      <c r="K1">
        <f>IF('4-20 mA'!3:3,"AAAAADb39go=",0)</f>
        <v>0</v>
      </c>
      <c r="L1" t="e">
        <f>AND('4-20 mA'!A3,"AAAAADb39gs=")</f>
        <v>#VALUE!</v>
      </c>
      <c r="M1" t="e">
        <f>AND('4-20 mA'!B3,"AAAAADb39gw=")</f>
        <v>#VALUE!</v>
      </c>
      <c r="N1" t="e">
        <f>AND('4-20 mA'!C3,"AAAAADb39g0=")</f>
        <v>#VALUE!</v>
      </c>
      <c r="O1" t="e">
        <f>AND('4-20 mA'!D3,"AAAAADb39g4=")</f>
        <v>#VALUE!</v>
      </c>
      <c r="P1" t="e">
        <f>AND('4-20 mA'!E3,"AAAAADb39g8=")</f>
        <v>#VALUE!</v>
      </c>
      <c r="Q1" t="e">
        <f>AND('4-20 mA'!G3,"AAAAADb39hA=")</f>
        <v>#VALUE!</v>
      </c>
      <c r="R1" t="e">
        <f>AND('4-20 mA'!F3,"AAAAADb39hE=")</f>
        <v>#VALUE!</v>
      </c>
      <c r="S1" t="e">
        <f>AND('4-20 mA'!H3,"AAAAADb39hI=")</f>
        <v>#VALUE!</v>
      </c>
      <c r="T1" t="e">
        <f>AND('4-20 mA'!#REF!,"AAAAADb39hM=")</f>
        <v>#REF!</v>
      </c>
      <c r="U1">
        <f>IF('4-20 mA'!4:4,"AAAAADb39hQ=",0)</f>
        <v>0</v>
      </c>
      <c r="V1" t="e">
        <f>AND('4-20 mA'!A4,"AAAAADb39hU=")</f>
        <v>#VALUE!</v>
      </c>
      <c r="W1" t="e">
        <f>AND('4-20 mA'!B4,"AAAAADb39hY=")</f>
        <v>#VALUE!</v>
      </c>
      <c r="X1" t="e">
        <f>AND('4-20 mA'!C4,"AAAAADb39hc=")</f>
        <v>#VALUE!</v>
      </c>
      <c r="Y1" t="e">
        <f>AND('4-20 mA'!D4,"AAAAADb39hg=")</f>
        <v>#VALUE!</v>
      </c>
      <c r="Z1" t="e">
        <f>AND('4-20 mA'!E4,"AAAAADb39hk=")</f>
        <v>#VALUE!</v>
      </c>
      <c r="AA1" t="e">
        <f>AND('4-20 mA'!G4,"AAAAADb39ho=")</f>
        <v>#VALUE!</v>
      </c>
      <c r="AB1" t="e">
        <f>AND('4-20 mA'!F4,"AAAAADb39hs=")</f>
        <v>#VALUE!</v>
      </c>
      <c r="AC1" t="e">
        <f>AND('4-20 mA'!H4,"AAAAADb39hw=")</f>
        <v>#VALUE!</v>
      </c>
      <c r="AD1" t="e">
        <f>AND('4-20 mA'!#REF!,"AAAAADb39h0=")</f>
        <v>#REF!</v>
      </c>
      <c r="AE1">
        <f>IF('4-20 mA'!5:5,"AAAAADb39h4=",0)</f>
        <v>0</v>
      </c>
      <c r="AF1" t="e">
        <f>AND('4-20 mA'!A5,"AAAAADb39h8=")</f>
        <v>#VALUE!</v>
      </c>
      <c r="AG1" t="e">
        <f>AND('4-20 mA'!B5,"AAAAADb39iA=")</f>
        <v>#VALUE!</v>
      </c>
      <c r="AH1" t="e">
        <f>AND('4-20 mA'!C5,"AAAAADb39iE=")</f>
        <v>#VALUE!</v>
      </c>
      <c r="AI1" t="e">
        <f>AND('4-20 mA'!D5,"AAAAADb39iI=")</f>
        <v>#VALUE!</v>
      </c>
      <c r="AJ1" t="e">
        <f>AND('4-20 mA'!E5,"AAAAADb39iM=")</f>
        <v>#VALUE!</v>
      </c>
      <c r="AK1" t="e">
        <f>AND('4-20 mA'!G5,"AAAAADb39iQ=")</f>
        <v>#VALUE!</v>
      </c>
      <c r="AL1" t="e">
        <f>AND('4-20 mA'!F5,"AAAAADb39iU=")</f>
        <v>#VALUE!</v>
      </c>
      <c r="AM1" t="e">
        <f>AND('4-20 mA'!H5,"AAAAADb39iY=")</f>
        <v>#VALUE!</v>
      </c>
      <c r="AN1" t="e">
        <f>AND('4-20 mA'!#REF!,"AAAAADb39ic=")</f>
        <v>#REF!</v>
      </c>
      <c r="AO1">
        <f>IF('4-20 mA'!6:6,"AAAAADb39ig=",0)</f>
        <v>0</v>
      </c>
      <c r="AP1" t="e">
        <f>AND('4-20 mA'!A6,"AAAAADb39ik=")</f>
        <v>#VALUE!</v>
      </c>
      <c r="AQ1" t="e">
        <f>AND('4-20 mA'!B6,"AAAAADb39io=")</f>
        <v>#VALUE!</v>
      </c>
      <c r="AR1" t="e">
        <f>AND('4-20 mA'!C6,"AAAAADb39is=")</f>
        <v>#VALUE!</v>
      </c>
      <c r="AS1" t="e">
        <f>AND('4-20 mA'!D6,"AAAAADb39iw=")</f>
        <v>#VALUE!</v>
      </c>
      <c r="AT1" t="e">
        <f>AND('4-20 mA'!E6,"AAAAADb39i0=")</f>
        <v>#VALUE!</v>
      </c>
      <c r="AU1" t="e">
        <f>AND('4-20 mA'!G6,"AAAAADb39i4=")</f>
        <v>#VALUE!</v>
      </c>
      <c r="AV1" t="e">
        <f>AND('4-20 mA'!F6,"AAAAADb39i8=")</f>
        <v>#VALUE!</v>
      </c>
      <c r="AW1" t="e">
        <f>AND('4-20 mA'!H6,"AAAAADb39jA=")</f>
        <v>#VALUE!</v>
      </c>
      <c r="AX1">
        <f>IF('4-20 mA'!7:7,"AAAAADb39jE=",0)</f>
        <v>0</v>
      </c>
      <c r="AY1" t="e">
        <f>AND('4-20 mA'!A7,"AAAAADb39jI=")</f>
        <v>#VALUE!</v>
      </c>
      <c r="AZ1" t="e">
        <f>AND('4-20 mA'!B7,"AAAAADb39jM=")</f>
        <v>#VALUE!</v>
      </c>
      <c r="BA1" t="e">
        <f>AND('4-20 mA'!C7,"AAAAADb39jQ=")</f>
        <v>#VALUE!</v>
      </c>
      <c r="BB1" t="e">
        <f>AND('4-20 mA'!D7,"AAAAADb39jU=")</f>
        <v>#VALUE!</v>
      </c>
      <c r="BC1" t="e">
        <f>AND('4-20 mA'!E7,"AAAAADb39jY=")</f>
        <v>#VALUE!</v>
      </c>
      <c r="BD1" t="e">
        <f>AND('4-20 mA'!G7,"AAAAADb39jc=")</f>
        <v>#VALUE!</v>
      </c>
      <c r="BE1" t="e">
        <f>AND('4-20 mA'!F7,"AAAAADb39jg=")</f>
        <v>#VALUE!</v>
      </c>
      <c r="BF1" t="e">
        <f>AND('4-20 mA'!H7,"AAAAADb39jk=")</f>
        <v>#VALUE!</v>
      </c>
      <c r="BG1" t="e">
        <f>IF('4-20 mA'!A:A,"AAAAADb39jo=",0)</f>
        <v>#VALUE!</v>
      </c>
      <c r="BH1">
        <f>IF('4-20 mA'!B:B,"AAAAADb39js=",0)</f>
        <v>0</v>
      </c>
      <c r="BI1">
        <f>IF('4-20 mA'!C:C,"AAAAADb39jw=",0)</f>
        <v>0</v>
      </c>
      <c r="BJ1">
        <f>IF('4-20 mA'!D:D,"AAAAADb39j0=",0)</f>
        <v>0</v>
      </c>
      <c r="BK1">
        <f>IF('4-20 mA'!E:E,"AAAAADb39j4=",0)</f>
        <v>0</v>
      </c>
      <c r="BL1">
        <f>IF('4-20 mA'!G:G,"AAAAADb39j8=",0)</f>
        <v>0</v>
      </c>
      <c r="BM1">
        <f>IF('4-20 mA'!F:F,"AAAAADb39kA=",0)</f>
        <v>0</v>
      </c>
      <c r="BN1">
        <f>IF('4-20 mA'!H:H,"AAAAADb39kE=",0)</f>
        <v>0</v>
      </c>
      <c r="BO1" t="e">
        <f>IF('4-20 mA'!#REF!,"AAAAADb39kI=",0)</f>
        <v>#REF!</v>
      </c>
      <c r="BP1" t="e">
        <f>IF(#REF!,"AAAAADb39kM=",0)</f>
        <v>#REF!</v>
      </c>
      <c r="BQ1" t="e">
        <f>AND(#REF!,"AAAAADb39kQ=")</f>
        <v>#REF!</v>
      </c>
      <c r="BR1" t="e">
        <f>IF(#REF!,"AAAAADb39kU=",0)</f>
        <v>#REF!</v>
      </c>
      <c r="BS1">
        <f>IF('1-5 Vdc'!1:1,"AAAAADb39kY=",0)</f>
        <v>0</v>
      </c>
      <c r="BT1" t="e">
        <f>AND('1-5 Vdc'!A1,"AAAAADb39kc=")</f>
        <v>#VALUE!</v>
      </c>
      <c r="BU1" t="e">
        <f>IF('1-5 Vdc'!A:A,"AAAAADb39kg=",0)</f>
        <v>#VALUE!</v>
      </c>
      <c r="BV1" t="s">
        <v>4</v>
      </c>
    </row>
    <row r="2" spans="1:256">
      <c r="A2" t="e">
        <f>AND('4-20 mA'!#REF!,"AAAAADP/LwA=")</f>
        <v>#REF!</v>
      </c>
      <c r="B2" t="e">
        <f>AND('4-20 mA'!I2,"AAAAADP/LwE=")</f>
        <v>#VALUE!</v>
      </c>
      <c r="C2" t="e">
        <f>AND('4-20 mA'!J2,"AAAAADP/LwI=")</f>
        <v>#VALUE!</v>
      </c>
      <c r="D2" t="e">
        <f>AND('4-20 mA'!#REF!,"AAAAADP/LwM=")</f>
        <v>#REF!</v>
      </c>
      <c r="E2" t="e">
        <f>AND('4-20 mA'!I3,"AAAAADP/LwQ=")</f>
        <v>#VALUE!</v>
      </c>
      <c r="F2" t="e">
        <f>AND('4-20 mA'!J3,"AAAAADP/LwU=")</f>
        <v>#VALUE!</v>
      </c>
      <c r="G2" t="e">
        <f>AND('4-20 mA'!#REF!,"AAAAADP/LwY=")</f>
        <v>#REF!</v>
      </c>
      <c r="H2" t="e">
        <f>AND('4-20 mA'!I4,"AAAAADP/Lwc=")</f>
        <v>#VALUE!</v>
      </c>
      <c r="I2" t="e">
        <f>AND('4-20 mA'!J4,"AAAAADP/Lwg=")</f>
        <v>#VALUE!</v>
      </c>
      <c r="J2" t="e">
        <f>AND('4-20 mA'!#REF!,"AAAAADP/Lwk=")</f>
        <v>#REF!</v>
      </c>
      <c r="K2" t="e">
        <f>AND('4-20 mA'!I5,"AAAAADP/Lwo=")</f>
        <v>#VALUE!</v>
      </c>
      <c r="L2" t="e">
        <f>AND('4-20 mA'!J5,"AAAAADP/Lws=")</f>
        <v>#VALUE!</v>
      </c>
      <c r="M2" t="e">
        <f>AND('4-20 mA'!#REF!,"AAAAADP/Lww=")</f>
        <v>#REF!</v>
      </c>
      <c r="N2" t="e">
        <f>AND('4-20 mA'!#REF!,"AAAAADP/Lw0=")</f>
        <v>#REF!</v>
      </c>
      <c r="O2" t="e">
        <f>AND('4-20 mA'!I6,"AAAAADP/Lw4=")</f>
        <v>#VALUE!</v>
      </c>
      <c r="P2" t="e">
        <f>AND('4-20 mA'!J6,"AAAAADP/Lw8=")</f>
        <v>#VALUE!</v>
      </c>
      <c r="Q2" t="e">
        <f>AND('4-20 mA'!#REF!,"AAAAADP/LxA=")</f>
        <v>#REF!</v>
      </c>
      <c r="R2" t="e">
        <f>AND('4-20 mA'!#REF!,"AAAAADP/LxE=")</f>
        <v>#REF!</v>
      </c>
      <c r="S2" t="e">
        <f>AND('4-20 mA'!I7,"AAAAADP/LxI=")</f>
        <v>#VALUE!</v>
      </c>
      <c r="T2" t="e">
        <f>AND('4-20 mA'!J7,"AAAAADP/LxM=")</f>
        <v>#VALUE!</v>
      </c>
      <c r="U2">
        <f>IF('4-20 mA'!8:8,"AAAAADP/LxQ=",0)</f>
        <v>0</v>
      </c>
      <c r="V2" t="e">
        <f>AND('4-20 mA'!#REF!,"AAAAADP/LxU=")</f>
        <v>#REF!</v>
      </c>
      <c r="W2" t="e">
        <f>AND('4-20 mA'!#REF!,"AAAAADP/LxY=")</f>
        <v>#REF!</v>
      </c>
      <c r="X2" t="e">
        <f>AND('4-20 mA'!A8,"AAAAADP/Lxc=")</f>
        <v>#VALUE!</v>
      </c>
      <c r="Y2" t="e">
        <f>AND('4-20 mA'!#REF!,"AAAAADP/Lxg=")</f>
        <v>#REF!</v>
      </c>
      <c r="Z2" t="e">
        <f>AND('4-20 mA'!D8,"AAAAADP/Lxk=")</f>
        <v>#VALUE!</v>
      </c>
      <c r="AA2" t="e">
        <f>AND('4-20 mA'!G8,"AAAAADP/Lxo=")</f>
        <v>#VALUE!</v>
      </c>
      <c r="AB2" t="e">
        <f>AND('4-20 mA'!F8,"AAAAADP/Lxs=")</f>
        <v>#VALUE!</v>
      </c>
      <c r="AC2" t="e">
        <f>AND('4-20 mA'!H8,"AAAAADP/Lxw=")</f>
        <v>#VALUE!</v>
      </c>
      <c r="AD2" t="e">
        <f>AND('4-20 mA'!#REF!,"AAAAADP/Lx0=")</f>
        <v>#REF!</v>
      </c>
      <c r="AE2" t="e">
        <f>AND('4-20 mA'!#REF!,"AAAAADP/Lx4=")</f>
        <v>#REF!</v>
      </c>
      <c r="AF2" t="e">
        <f>AND('4-20 mA'!I8,"AAAAADP/Lx8=")</f>
        <v>#VALUE!</v>
      </c>
      <c r="AG2" t="e">
        <f>AND('4-20 mA'!J8,"AAAAADP/LyA=")</f>
        <v>#VALUE!</v>
      </c>
      <c r="AH2">
        <f>IF('4-20 mA'!9:9,"AAAAADP/LyE=",0)</f>
        <v>0</v>
      </c>
      <c r="AI2" t="e">
        <f>AND('4-20 mA'!A9,"AAAAADP/LyI=")</f>
        <v>#VALUE!</v>
      </c>
      <c r="AJ2" t="e">
        <f>AND('4-20 mA'!B9,"AAAAADP/LyM=")</f>
        <v>#VALUE!</v>
      </c>
      <c r="AK2" t="e">
        <f>AND('4-20 mA'!C9,"AAAAADP/LyQ=")</f>
        <v>#VALUE!</v>
      </c>
      <c r="AL2" t="e">
        <f>AND('4-20 mA'!D9,"AAAAADP/LyU=")</f>
        <v>#VALUE!</v>
      </c>
      <c r="AM2" t="e">
        <f>AND('4-20 mA'!E9,"AAAAADP/LyY=")</f>
        <v>#VALUE!</v>
      </c>
      <c r="AN2" t="e">
        <f>AND('4-20 mA'!G9,"AAAAADP/Lyc=")</f>
        <v>#VALUE!</v>
      </c>
      <c r="AO2" t="e">
        <f>AND('4-20 mA'!F9,"AAAAADP/Lyg=")</f>
        <v>#VALUE!</v>
      </c>
      <c r="AP2" t="e">
        <f>AND('4-20 mA'!H9,"AAAAADP/Lyk=")</f>
        <v>#VALUE!</v>
      </c>
      <c r="AQ2" t="e">
        <f>AND('4-20 mA'!#REF!,"AAAAADP/Lyo=")</f>
        <v>#REF!</v>
      </c>
      <c r="AR2" t="e">
        <f>AND('4-20 mA'!#REF!,"AAAAADP/Lys=")</f>
        <v>#REF!</v>
      </c>
      <c r="AS2" t="e">
        <f>AND('4-20 mA'!I9,"AAAAADP/Lyw=")</f>
        <v>#VALUE!</v>
      </c>
      <c r="AT2" t="e">
        <f>AND('4-20 mA'!J9,"AAAAADP/Ly0=")</f>
        <v>#VALUE!</v>
      </c>
      <c r="AU2">
        <f>IF('4-20 mA'!10:10,"AAAAADP/Ly4=",0)</f>
        <v>0</v>
      </c>
      <c r="AV2" t="e">
        <f>AND('4-20 mA'!A10,"AAAAADP/Ly8=")</f>
        <v>#VALUE!</v>
      </c>
      <c r="AW2" t="e">
        <f>AND('4-20 mA'!B10,"AAAAADP/LzA=")</f>
        <v>#VALUE!</v>
      </c>
      <c r="AX2" t="e">
        <f>AND('4-20 mA'!C10,"AAAAADP/LzE=")</f>
        <v>#VALUE!</v>
      </c>
      <c r="AY2" t="e">
        <f>AND('4-20 mA'!D10,"AAAAADP/LzI=")</f>
        <v>#VALUE!</v>
      </c>
      <c r="AZ2" t="e">
        <f>AND('4-20 mA'!E10,"AAAAADP/LzM=")</f>
        <v>#VALUE!</v>
      </c>
      <c r="BA2" t="e">
        <f>AND('4-20 mA'!G10,"AAAAADP/LzQ=")</f>
        <v>#VALUE!</v>
      </c>
      <c r="BB2" t="e">
        <f>AND('4-20 mA'!F10,"AAAAADP/LzU=")</f>
        <v>#VALUE!</v>
      </c>
      <c r="BC2" t="e">
        <f>AND('4-20 mA'!H10,"AAAAADP/LzY=")</f>
        <v>#VALUE!</v>
      </c>
      <c r="BD2" t="e">
        <f>AND('4-20 mA'!#REF!,"AAAAADP/Lzc=")</f>
        <v>#REF!</v>
      </c>
      <c r="BE2" t="e">
        <f>AND('4-20 mA'!#REF!,"AAAAADP/Lzg=")</f>
        <v>#REF!</v>
      </c>
      <c r="BF2" t="e">
        <f>AND('4-20 mA'!I10,"AAAAADP/Lzk=")</f>
        <v>#VALUE!</v>
      </c>
      <c r="BG2" t="e">
        <f>AND('4-20 mA'!J10,"AAAAADP/Lzo=")</f>
        <v>#VALUE!</v>
      </c>
      <c r="BH2">
        <f>IF('4-20 mA'!11:11,"AAAAADP/Lzs=",0)</f>
        <v>0</v>
      </c>
      <c r="BI2" t="e">
        <f>AND('4-20 mA'!A11,"AAAAADP/Lzw=")</f>
        <v>#VALUE!</v>
      </c>
      <c r="BJ2" t="e">
        <f>AND('4-20 mA'!B11,"AAAAADP/Lz0=")</f>
        <v>#VALUE!</v>
      </c>
      <c r="BK2" t="e">
        <f>AND('4-20 mA'!C11,"AAAAADP/Lz4=")</f>
        <v>#VALUE!</v>
      </c>
      <c r="BL2" t="e">
        <f>AND('4-20 mA'!D11,"AAAAADP/Lz8=")</f>
        <v>#VALUE!</v>
      </c>
      <c r="BM2" t="e">
        <f>AND('4-20 mA'!E11,"AAAAADP/L0A=")</f>
        <v>#VALUE!</v>
      </c>
      <c r="BN2" t="e">
        <f>AND('4-20 mA'!G11,"AAAAADP/L0E=")</f>
        <v>#VALUE!</v>
      </c>
      <c r="BO2" t="e">
        <f>AND('4-20 mA'!F11,"AAAAADP/L0I=")</f>
        <v>#VALUE!</v>
      </c>
      <c r="BP2" t="e">
        <f>AND('4-20 mA'!H11,"AAAAADP/L0M=")</f>
        <v>#VALUE!</v>
      </c>
      <c r="BQ2" t="e">
        <f>AND('4-20 mA'!#REF!,"AAAAADP/L0Q=")</f>
        <v>#REF!</v>
      </c>
      <c r="BR2" t="e">
        <f>AND('4-20 mA'!#REF!,"AAAAADP/L0U=")</f>
        <v>#REF!</v>
      </c>
      <c r="BS2" t="e">
        <f>AND('4-20 mA'!I11,"AAAAADP/L0Y=")</f>
        <v>#VALUE!</v>
      </c>
      <c r="BT2" t="e">
        <f>AND('4-20 mA'!J11,"AAAAADP/L0c=")</f>
        <v>#VALUE!</v>
      </c>
      <c r="BU2">
        <f>IF('4-20 mA'!12:12,"AAAAADP/L0g=",0)</f>
        <v>0</v>
      </c>
      <c r="BV2" t="e">
        <f>AND('4-20 mA'!A12,"AAAAADP/L0k=")</f>
        <v>#VALUE!</v>
      </c>
      <c r="BW2" t="e">
        <f>AND('4-20 mA'!B12,"AAAAADP/L0o=")</f>
        <v>#VALUE!</v>
      </c>
      <c r="BX2" t="e">
        <f>AND('4-20 mA'!C12,"AAAAADP/L0s=")</f>
        <v>#VALUE!</v>
      </c>
      <c r="BY2" t="e">
        <f>AND('4-20 mA'!D12,"AAAAADP/L0w=")</f>
        <v>#VALUE!</v>
      </c>
      <c r="BZ2" t="e">
        <f>AND('4-20 mA'!E12,"AAAAADP/L00=")</f>
        <v>#VALUE!</v>
      </c>
      <c r="CA2" t="e">
        <f>AND('4-20 mA'!G12,"AAAAADP/L04=")</f>
        <v>#VALUE!</v>
      </c>
      <c r="CB2" t="e">
        <f>AND('4-20 mA'!F12,"AAAAADP/L08=")</f>
        <v>#VALUE!</v>
      </c>
      <c r="CC2" t="e">
        <f>AND('4-20 mA'!H12,"AAAAADP/L1A=")</f>
        <v>#VALUE!</v>
      </c>
      <c r="CD2" t="e">
        <f>AND('4-20 mA'!#REF!,"AAAAADP/L1E=")</f>
        <v>#REF!</v>
      </c>
      <c r="CE2" t="e">
        <f>AND('4-20 mA'!#REF!,"AAAAADP/L1I=")</f>
        <v>#REF!</v>
      </c>
      <c r="CF2" t="e">
        <f>AND('4-20 mA'!I12,"AAAAADP/L1M=")</f>
        <v>#VALUE!</v>
      </c>
      <c r="CG2" t="e">
        <f>AND('4-20 mA'!J12,"AAAAADP/L1Q=")</f>
        <v>#VALUE!</v>
      </c>
      <c r="CH2">
        <f>IF('4-20 mA'!13:13,"AAAAADP/L1U=",0)</f>
        <v>0</v>
      </c>
      <c r="CI2" t="e">
        <f>AND('4-20 mA'!A13,"AAAAADP/L1Y=")</f>
        <v>#VALUE!</v>
      </c>
      <c r="CJ2" t="e">
        <f>AND('4-20 mA'!B13,"AAAAADP/L1c=")</f>
        <v>#VALUE!</v>
      </c>
      <c r="CK2" t="e">
        <f>AND('4-20 mA'!C13,"AAAAADP/L1g=")</f>
        <v>#VALUE!</v>
      </c>
      <c r="CL2" t="e">
        <f>AND('4-20 mA'!D13,"AAAAADP/L1k=")</f>
        <v>#VALUE!</v>
      </c>
      <c r="CM2" t="e">
        <f>AND('4-20 mA'!E13,"AAAAADP/L1o=")</f>
        <v>#VALUE!</v>
      </c>
      <c r="CN2" t="e">
        <f>AND('4-20 mA'!G13,"AAAAADP/L1s=")</f>
        <v>#VALUE!</v>
      </c>
      <c r="CO2" t="e">
        <f>AND('4-20 mA'!F13,"AAAAADP/L1w=")</f>
        <v>#VALUE!</v>
      </c>
      <c r="CP2" t="e">
        <f>AND('4-20 mA'!H13,"AAAAADP/L10=")</f>
        <v>#VALUE!</v>
      </c>
      <c r="CQ2" t="e">
        <f>AND('4-20 mA'!#REF!,"AAAAADP/L14=")</f>
        <v>#REF!</v>
      </c>
      <c r="CR2" t="e">
        <f>AND('4-20 mA'!#REF!,"AAAAADP/L18=")</f>
        <v>#REF!</v>
      </c>
      <c r="CS2" t="e">
        <f>AND('4-20 mA'!I13,"AAAAADP/L2A=")</f>
        <v>#VALUE!</v>
      </c>
      <c r="CT2" t="e">
        <f>AND('4-20 mA'!J13,"AAAAADP/L2E=")</f>
        <v>#VALUE!</v>
      </c>
      <c r="CU2">
        <f>IF('4-20 mA'!14:14,"AAAAADP/L2I=",0)</f>
        <v>0</v>
      </c>
      <c r="CV2" t="e">
        <f>AND('4-20 mA'!A14,"AAAAADP/L2M=")</f>
        <v>#VALUE!</v>
      </c>
      <c r="CW2" t="e">
        <f>AND('4-20 mA'!B14,"AAAAADP/L2Q=")</f>
        <v>#VALUE!</v>
      </c>
      <c r="CX2" t="e">
        <f>AND('4-20 mA'!C14,"AAAAADP/L2U=")</f>
        <v>#VALUE!</v>
      </c>
      <c r="CY2" t="e">
        <f>AND('4-20 mA'!D14,"AAAAADP/L2Y=")</f>
        <v>#VALUE!</v>
      </c>
      <c r="CZ2" t="e">
        <f>AND('4-20 mA'!E14,"AAAAADP/L2c=")</f>
        <v>#VALUE!</v>
      </c>
      <c r="DA2" t="e">
        <f>AND('4-20 mA'!G14,"AAAAADP/L2g=")</f>
        <v>#VALUE!</v>
      </c>
      <c r="DB2" t="e">
        <f>AND('4-20 mA'!F14,"AAAAADP/L2k=")</f>
        <v>#VALUE!</v>
      </c>
      <c r="DC2" t="e">
        <f>AND('4-20 mA'!H14,"AAAAADP/L2o=")</f>
        <v>#VALUE!</v>
      </c>
      <c r="DD2" t="e">
        <f>AND('4-20 mA'!#REF!,"AAAAADP/L2s=")</f>
        <v>#REF!</v>
      </c>
      <c r="DE2" t="e">
        <f>AND('4-20 mA'!#REF!,"AAAAADP/L2w=")</f>
        <v>#REF!</v>
      </c>
      <c r="DF2" t="e">
        <f>AND('4-20 mA'!I14,"AAAAADP/L20=")</f>
        <v>#VALUE!</v>
      </c>
      <c r="DG2" t="e">
        <f>AND('4-20 mA'!J14,"AAAAADP/L24=")</f>
        <v>#VALUE!</v>
      </c>
      <c r="DH2">
        <f>IF('4-20 mA'!15:15,"AAAAADP/L28=",0)</f>
        <v>0</v>
      </c>
      <c r="DI2" t="e">
        <f>AND('4-20 mA'!A15,"AAAAADP/L3A=")</f>
        <v>#VALUE!</v>
      </c>
      <c r="DJ2" t="e">
        <f>AND('4-20 mA'!B15,"AAAAADP/L3E=")</f>
        <v>#VALUE!</v>
      </c>
      <c r="DK2" t="e">
        <f>AND('4-20 mA'!C15,"AAAAADP/L3I=")</f>
        <v>#VALUE!</v>
      </c>
      <c r="DL2" t="e">
        <f>AND('4-20 mA'!D15,"AAAAADP/L3M=")</f>
        <v>#VALUE!</v>
      </c>
      <c r="DM2" t="e">
        <f>AND('4-20 mA'!E15,"AAAAADP/L3Q=")</f>
        <v>#VALUE!</v>
      </c>
      <c r="DN2" t="e">
        <f>AND('4-20 mA'!G15,"AAAAADP/L3U=")</f>
        <v>#VALUE!</v>
      </c>
      <c r="DO2" t="e">
        <f>AND('4-20 mA'!F15,"AAAAADP/L3Y=")</f>
        <v>#VALUE!</v>
      </c>
      <c r="DP2" t="e">
        <f>AND('4-20 mA'!H15,"AAAAADP/L3c=")</f>
        <v>#VALUE!</v>
      </c>
      <c r="DQ2" t="e">
        <f>AND('4-20 mA'!#REF!,"AAAAADP/L3g=")</f>
        <v>#REF!</v>
      </c>
      <c r="DR2" t="e">
        <f>AND('4-20 mA'!#REF!,"AAAAADP/L3k=")</f>
        <v>#REF!</v>
      </c>
      <c r="DS2" t="e">
        <f>AND('4-20 mA'!I15,"AAAAADP/L3o=")</f>
        <v>#VALUE!</v>
      </c>
      <c r="DT2" t="e">
        <f>AND('4-20 mA'!J15,"AAAAADP/L3s=")</f>
        <v>#VALUE!</v>
      </c>
      <c r="DU2">
        <f>IF('4-20 mA'!16:16,"AAAAADP/L3w=",0)</f>
        <v>0</v>
      </c>
      <c r="DV2" t="e">
        <f>AND('4-20 mA'!A16,"AAAAADP/L30=")</f>
        <v>#VALUE!</v>
      </c>
      <c r="DW2" t="e">
        <f>AND('4-20 mA'!B16,"AAAAADP/L34=")</f>
        <v>#VALUE!</v>
      </c>
      <c r="DX2" t="e">
        <f>AND('4-20 mA'!C16,"AAAAADP/L38=")</f>
        <v>#VALUE!</v>
      </c>
      <c r="DY2" t="e">
        <f>AND('4-20 mA'!D16,"AAAAADP/L4A=")</f>
        <v>#VALUE!</v>
      </c>
      <c r="DZ2" t="e">
        <f>AND('4-20 mA'!E16,"AAAAADP/L4E=")</f>
        <v>#VALUE!</v>
      </c>
      <c r="EA2" t="e">
        <f>AND('4-20 mA'!G16,"AAAAADP/L4I=")</f>
        <v>#VALUE!</v>
      </c>
      <c r="EB2" t="e">
        <f>AND('4-20 mA'!F16,"AAAAADP/L4M=")</f>
        <v>#VALUE!</v>
      </c>
      <c r="EC2" t="e">
        <f>AND('4-20 mA'!H16,"AAAAADP/L4Q=")</f>
        <v>#VALUE!</v>
      </c>
      <c r="ED2" t="e">
        <f>AND('4-20 mA'!#REF!,"AAAAADP/L4U=")</f>
        <v>#REF!</v>
      </c>
      <c r="EE2" t="e">
        <f>AND('4-20 mA'!#REF!,"AAAAADP/L4Y=")</f>
        <v>#REF!</v>
      </c>
      <c r="EF2" t="e">
        <f>AND('4-20 mA'!I16,"AAAAADP/L4c=")</f>
        <v>#VALUE!</v>
      </c>
      <c r="EG2" t="e">
        <f>AND('4-20 mA'!J16,"AAAAADP/L4g=")</f>
        <v>#VALUE!</v>
      </c>
      <c r="EH2">
        <f>IF('4-20 mA'!17:17,"AAAAADP/L4k=",0)</f>
        <v>0</v>
      </c>
      <c r="EI2" t="e">
        <f>AND('4-20 mA'!A17,"AAAAADP/L4o=")</f>
        <v>#VALUE!</v>
      </c>
      <c r="EJ2" t="e">
        <f>AND('4-20 mA'!B17,"AAAAADP/L4s=")</f>
        <v>#VALUE!</v>
      </c>
      <c r="EK2" t="e">
        <f>AND('4-20 mA'!C17,"AAAAADP/L4w=")</f>
        <v>#VALUE!</v>
      </c>
      <c r="EL2" t="e">
        <f>AND('4-20 mA'!D17,"AAAAADP/L40=")</f>
        <v>#VALUE!</v>
      </c>
      <c r="EM2" t="e">
        <f>AND('4-20 mA'!E17,"AAAAADP/L44=")</f>
        <v>#VALUE!</v>
      </c>
      <c r="EN2" t="e">
        <f>AND('4-20 mA'!G17,"AAAAADP/L48=")</f>
        <v>#VALUE!</v>
      </c>
      <c r="EO2" t="e">
        <f>AND('4-20 mA'!F17,"AAAAADP/L5A=")</f>
        <v>#VALUE!</v>
      </c>
      <c r="EP2" t="e">
        <f>AND('4-20 mA'!H17,"AAAAADP/L5E=")</f>
        <v>#VALUE!</v>
      </c>
      <c r="EQ2" t="e">
        <f>AND('4-20 mA'!#REF!,"AAAAADP/L5I=")</f>
        <v>#REF!</v>
      </c>
      <c r="ER2" t="e">
        <f>AND('4-20 mA'!#REF!,"AAAAADP/L5M=")</f>
        <v>#REF!</v>
      </c>
      <c r="ES2" t="e">
        <f>AND('4-20 mA'!I17,"AAAAADP/L5Q=")</f>
        <v>#VALUE!</v>
      </c>
      <c r="ET2" t="e">
        <f>AND('4-20 mA'!J17,"AAAAADP/L5U=")</f>
        <v>#VALUE!</v>
      </c>
      <c r="EU2">
        <f>IF('4-20 mA'!18:18,"AAAAADP/L5Y=",0)</f>
        <v>0</v>
      </c>
      <c r="EV2" t="e">
        <f>AND('4-20 mA'!A18,"AAAAADP/L5c=")</f>
        <v>#VALUE!</v>
      </c>
      <c r="EW2" t="e">
        <f>AND('4-20 mA'!B18,"AAAAADP/L5g=")</f>
        <v>#VALUE!</v>
      </c>
      <c r="EX2" t="e">
        <f>AND('4-20 mA'!C18,"AAAAADP/L5k=")</f>
        <v>#VALUE!</v>
      </c>
      <c r="EY2" t="e">
        <f>AND('4-20 mA'!D18,"AAAAADP/L5o=")</f>
        <v>#VALUE!</v>
      </c>
      <c r="EZ2" t="e">
        <f>AND('4-20 mA'!E18,"AAAAADP/L5s=")</f>
        <v>#VALUE!</v>
      </c>
      <c r="FA2" t="e">
        <f>AND('4-20 mA'!G18,"AAAAADP/L5w=")</f>
        <v>#VALUE!</v>
      </c>
      <c r="FB2" t="e">
        <f>AND('4-20 mA'!F18,"AAAAADP/L50=")</f>
        <v>#VALUE!</v>
      </c>
      <c r="FC2" t="e">
        <f>AND('4-20 mA'!H18,"AAAAADP/L54=")</f>
        <v>#VALUE!</v>
      </c>
      <c r="FD2" t="e">
        <f>AND('4-20 mA'!#REF!,"AAAAADP/L58=")</f>
        <v>#REF!</v>
      </c>
      <c r="FE2" t="e">
        <f>AND('4-20 mA'!#REF!,"AAAAADP/L6A=")</f>
        <v>#REF!</v>
      </c>
      <c r="FF2" t="e">
        <f>AND('4-20 mA'!I18,"AAAAADP/L6E=")</f>
        <v>#VALUE!</v>
      </c>
      <c r="FG2" t="e">
        <f>AND('4-20 mA'!J18,"AAAAADP/L6I=")</f>
        <v>#VALUE!</v>
      </c>
      <c r="FH2">
        <f>IF('4-20 mA'!19:19,"AAAAADP/L6M=",0)</f>
        <v>0</v>
      </c>
      <c r="FI2" t="e">
        <f>AND('4-20 mA'!A19,"AAAAADP/L6Q=")</f>
        <v>#VALUE!</v>
      </c>
      <c r="FJ2" t="e">
        <f>AND('4-20 mA'!B19,"AAAAADP/L6U=")</f>
        <v>#VALUE!</v>
      </c>
      <c r="FK2" t="e">
        <f>AND('4-20 mA'!C19,"AAAAADP/L6Y=")</f>
        <v>#VALUE!</v>
      </c>
      <c r="FL2" t="e">
        <f>AND('4-20 mA'!D19,"AAAAADP/L6c=")</f>
        <v>#VALUE!</v>
      </c>
      <c r="FM2" t="e">
        <f>AND('4-20 mA'!E19,"AAAAADP/L6g=")</f>
        <v>#VALUE!</v>
      </c>
      <c r="FN2" t="e">
        <f>AND('4-20 mA'!G19,"AAAAADP/L6k=")</f>
        <v>#VALUE!</v>
      </c>
      <c r="FO2" t="e">
        <f>AND('4-20 mA'!F19,"AAAAADP/L6o=")</f>
        <v>#VALUE!</v>
      </c>
      <c r="FP2" t="e">
        <f>AND('4-20 mA'!H19,"AAAAADP/L6s=")</f>
        <v>#VALUE!</v>
      </c>
      <c r="FQ2" t="e">
        <f>AND('4-20 mA'!#REF!,"AAAAADP/L6w=")</f>
        <v>#REF!</v>
      </c>
      <c r="FR2" t="e">
        <f>AND('4-20 mA'!#REF!,"AAAAADP/L60=")</f>
        <v>#REF!</v>
      </c>
      <c r="FS2" t="e">
        <f>AND('4-20 mA'!I19,"AAAAADP/L64=")</f>
        <v>#VALUE!</v>
      </c>
      <c r="FT2" t="e">
        <f>AND('4-20 mA'!J19,"AAAAADP/L68=")</f>
        <v>#VALUE!</v>
      </c>
      <c r="FU2">
        <f>IF('4-20 mA'!20:20,"AAAAADP/L7A=",0)</f>
        <v>0</v>
      </c>
      <c r="FV2" t="e">
        <f>AND('4-20 mA'!A20,"AAAAADP/L7E=")</f>
        <v>#VALUE!</v>
      </c>
      <c r="FW2" t="e">
        <f>AND('4-20 mA'!B20,"AAAAADP/L7I=")</f>
        <v>#VALUE!</v>
      </c>
      <c r="FX2" t="e">
        <f>AND('4-20 mA'!C20,"AAAAADP/L7M=")</f>
        <v>#VALUE!</v>
      </c>
      <c r="FY2" t="e">
        <f>AND('4-20 mA'!D20,"AAAAADP/L7Q=")</f>
        <v>#VALUE!</v>
      </c>
      <c r="FZ2" t="e">
        <f>AND('4-20 mA'!E20,"AAAAADP/L7U=")</f>
        <v>#VALUE!</v>
      </c>
      <c r="GA2" t="e">
        <f>AND('4-20 mA'!G20,"AAAAADP/L7Y=")</f>
        <v>#VALUE!</v>
      </c>
      <c r="GB2" t="e">
        <f>AND('4-20 mA'!F20,"AAAAADP/L7c=")</f>
        <v>#VALUE!</v>
      </c>
      <c r="GC2" t="e">
        <f>AND('4-20 mA'!H20,"AAAAADP/L7g=")</f>
        <v>#VALUE!</v>
      </c>
      <c r="GD2" t="e">
        <f>AND('4-20 mA'!#REF!,"AAAAADP/L7k=")</f>
        <v>#REF!</v>
      </c>
      <c r="GE2" t="e">
        <f>AND('4-20 mA'!#REF!,"AAAAADP/L7o=")</f>
        <v>#REF!</v>
      </c>
      <c r="GF2" t="e">
        <f>AND('4-20 mA'!I20,"AAAAADP/L7s=")</f>
        <v>#VALUE!</v>
      </c>
      <c r="GG2" t="e">
        <f>AND('4-20 mA'!J20,"AAAAADP/L7w=")</f>
        <v>#VALUE!</v>
      </c>
      <c r="GH2">
        <f>IF('4-20 mA'!21:21,"AAAAADP/L70=",0)</f>
        <v>0</v>
      </c>
      <c r="GI2" t="e">
        <f>AND('4-20 mA'!A21,"AAAAADP/L74=")</f>
        <v>#VALUE!</v>
      </c>
      <c r="GJ2" t="e">
        <f>AND('4-20 mA'!B21,"AAAAADP/L78=")</f>
        <v>#VALUE!</v>
      </c>
      <c r="GK2" t="e">
        <f>AND('4-20 mA'!C21,"AAAAADP/L8A=")</f>
        <v>#VALUE!</v>
      </c>
      <c r="GL2" t="e">
        <f>AND('4-20 mA'!D21,"AAAAADP/L8E=")</f>
        <v>#VALUE!</v>
      </c>
      <c r="GM2" t="e">
        <f>AND('4-20 mA'!E21,"AAAAADP/L8I=")</f>
        <v>#VALUE!</v>
      </c>
      <c r="GN2" t="e">
        <f>AND('4-20 mA'!G21,"AAAAADP/L8M=")</f>
        <v>#VALUE!</v>
      </c>
      <c r="GO2" t="e">
        <f>AND('4-20 mA'!F21,"AAAAADP/L8Q=")</f>
        <v>#VALUE!</v>
      </c>
      <c r="GP2" t="e">
        <f>AND('4-20 mA'!H21,"AAAAADP/L8U=")</f>
        <v>#VALUE!</v>
      </c>
      <c r="GQ2" t="e">
        <f>AND('4-20 mA'!#REF!,"AAAAADP/L8Y=")</f>
        <v>#REF!</v>
      </c>
      <c r="GR2" t="e">
        <f>AND('4-20 mA'!#REF!,"AAAAADP/L8c=")</f>
        <v>#REF!</v>
      </c>
      <c r="GS2" t="e">
        <f>AND('4-20 mA'!I21,"AAAAADP/L8g=")</f>
        <v>#VALUE!</v>
      </c>
      <c r="GT2" t="e">
        <f>AND('4-20 mA'!J21,"AAAAADP/L8k=")</f>
        <v>#VALUE!</v>
      </c>
      <c r="GU2">
        <f>IF('4-20 mA'!22:22,"AAAAADP/L8o=",0)</f>
        <v>0</v>
      </c>
      <c r="GV2" t="e">
        <f>AND('4-20 mA'!A22,"AAAAADP/L8s=")</f>
        <v>#VALUE!</v>
      </c>
      <c r="GW2" t="e">
        <f>AND('4-20 mA'!B22,"AAAAADP/L8w=")</f>
        <v>#VALUE!</v>
      </c>
      <c r="GX2" t="e">
        <f>AND('4-20 mA'!C22,"AAAAADP/L80=")</f>
        <v>#VALUE!</v>
      </c>
      <c r="GY2" t="e">
        <f>AND('4-20 mA'!D22,"AAAAADP/L84=")</f>
        <v>#VALUE!</v>
      </c>
      <c r="GZ2" t="e">
        <f>AND('4-20 mA'!E22,"AAAAADP/L88=")</f>
        <v>#VALUE!</v>
      </c>
      <c r="HA2" t="e">
        <f>AND('4-20 mA'!G22,"AAAAADP/L9A=")</f>
        <v>#VALUE!</v>
      </c>
      <c r="HB2" t="e">
        <f>AND('4-20 mA'!F22,"AAAAADP/L9E=")</f>
        <v>#VALUE!</v>
      </c>
      <c r="HC2" t="e">
        <f>AND('4-20 mA'!H22,"AAAAADP/L9I=")</f>
        <v>#VALUE!</v>
      </c>
      <c r="HD2" t="e">
        <f>AND('4-20 mA'!#REF!,"AAAAADP/L9M=")</f>
        <v>#REF!</v>
      </c>
      <c r="HE2" t="e">
        <f>AND('4-20 mA'!#REF!,"AAAAADP/L9Q=")</f>
        <v>#REF!</v>
      </c>
      <c r="HF2" t="e">
        <f>AND('4-20 mA'!I22,"AAAAADP/L9U=")</f>
        <v>#VALUE!</v>
      </c>
      <c r="HG2" t="e">
        <f>AND('4-20 mA'!J22,"AAAAADP/L9Y=")</f>
        <v>#VALUE!</v>
      </c>
      <c r="HH2">
        <f>IF('4-20 mA'!23:23,"AAAAADP/L9c=",0)</f>
        <v>0</v>
      </c>
      <c r="HI2" t="e">
        <f>AND('4-20 mA'!A23,"AAAAADP/L9g=")</f>
        <v>#VALUE!</v>
      </c>
      <c r="HJ2" t="e">
        <f>AND('4-20 mA'!B23,"AAAAADP/L9k=")</f>
        <v>#VALUE!</v>
      </c>
      <c r="HK2" t="e">
        <f>AND('4-20 mA'!C23,"AAAAADP/L9o=")</f>
        <v>#VALUE!</v>
      </c>
      <c r="HL2" t="e">
        <f>AND('4-20 mA'!D23,"AAAAADP/L9s=")</f>
        <v>#VALUE!</v>
      </c>
      <c r="HM2" t="e">
        <f>AND('4-20 mA'!E23,"AAAAADP/L9w=")</f>
        <v>#VALUE!</v>
      </c>
      <c r="HN2" t="e">
        <f>AND('4-20 mA'!G23,"AAAAADP/L90=")</f>
        <v>#VALUE!</v>
      </c>
      <c r="HO2" t="e">
        <f>AND('4-20 mA'!F23,"AAAAADP/L94=")</f>
        <v>#VALUE!</v>
      </c>
      <c r="HP2" t="e">
        <f>AND('4-20 mA'!H23,"AAAAADP/L98=")</f>
        <v>#VALUE!</v>
      </c>
      <c r="HQ2" t="e">
        <f>AND('4-20 mA'!#REF!,"AAAAADP/L+A=")</f>
        <v>#REF!</v>
      </c>
      <c r="HR2" t="e">
        <f>AND('4-20 mA'!#REF!,"AAAAADP/L+E=")</f>
        <v>#REF!</v>
      </c>
      <c r="HS2" t="e">
        <f>AND('4-20 mA'!I23,"AAAAADP/L+I=")</f>
        <v>#VALUE!</v>
      </c>
      <c r="HT2" t="e">
        <f>AND('4-20 mA'!J23,"AAAAADP/L+M=")</f>
        <v>#VALUE!</v>
      </c>
      <c r="HU2">
        <f>IF('4-20 mA'!24:24,"AAAAADP/L+Q=",0)</f>
        <v>0</v>
      </c>
      <c r="HV2" t="e">
        <f>AND('4-20 mA'!A24,"AAAAADP/L+U=")</f>
        <v>#VALUE!</v>
      </c>
      <c r="HW2" t="e">
        <f>AND('4-20 mA'!B24,"AAAAADP/L+Y=")</f>
        <v>#VALUE!</v>
      </c>
      <c r="HX2" t="e">
        <f>AND('4-20 mA'!C24,"AAAAADP/L+c=")</f>
        <v>#VALUE!</v>
      </c>
      <c r="HY2" t="e">
        <f>AND('4-20 mA'!D24,"AAAAADP/L+g=")</f>
        <v>#VALUE!</v>
      </c>
      <c r="HZ2" t="e">
        <f>AND('4-20 mA'!E24,"AAAAADP/L+k=")</f>
        <v>#VALUE!</v>
      </c>
      <c r="IA2" t="e">
        <f>AND('4-20 mA'!G24,"AAAAADP/L+o=")</f>
        <v>#VALUE!</v>
      </c>
      <c r="IB2" t="e">
        <f>AND('4-20 mA'!F24,"AAAAADP/L+s=")</f>
        <v>#VALUE!</v>
      </c>
      <c r="IC2" t="e">
        <f>AND('4-20 mA'!H24,"AAAAADP/L+w=")</f>
        <v>#VALUE!</v>
      </c>
      <c r="ID2" t="e">
        <f>AND('4-20 mA'!#REF!,"AAAAADP/L+0=")</f>
        <v>#REF!</v>
      </c>
      <c r="IE2" t="e">
        <f>AND('4-20 mA'!#REF!,"AAAAADP/L+4=")</f>
        <v>#REF!</v>
      </c>
      <c r="IF2" t="e">
        <f>AND('4-20 mA'!I24,"AAAAADP/L+8=")</f>
        <v>#VALUE!</v>
      </c>
      <c r="IG2" t="e">
        <f>AND('4-20 mA'!J24,"AAAAADP/L/A=")</f>
        <v>#VALUE!</v>
      </c>
      <c r="IH2" t="e">
        <f>IF('4-20 mA'!#REF!,"AAAAADP/L/E=",0)</f>
        <v>#REF!</v>
      </c>
      <c r="II2">
        <f>IF('4-20 mA'!I:I,"AAAAADP/L/I=",0)</f>
        <v>0</v>
      </c>
      <c r="IJ2">
        <f>IF('4-20 mA'!J:J,"AAAAADP/L/M=",0)</f>
        <v>0</v>
      </c>
    </row>
    <row r="3" spans="1:256">
      <c r="A3">
        <f>IF('4-20 mA'!25:25,"AAAAAHNlrwA=",0)</f>
        <v>0</v>
      </c>
      <c r="B3" t="e">
        <f>AND('4-20 mA'!A25,"AAAAAHNlrwE=")</f>
        <v>#VALUE!</v>
      </c>
      <c r="C3" t="e">
        <f>AND('4-20 mA'!B25,"AAAAAHNlrwI=")</f>
        <v>#VALUE!</v>
      </c>
      <c r="D3" t="e">
        <f>AND('4-20 mA'!C25,"AAAAAHNlrwM=")</f>
        <v>#VALUE!</v>
      </c>
      <c r="E3" t="e">
        <f>AND('4-20 mA'!D25,"AAAAAHNlrwQ=")</f>
        <v>#VALUE!</v>
      </c>
      <c r="F3" t="e">
        <f>AND('4-20 mA'!E25,"AAAAAHNlrwU=")</f>
        <v>#VALUE!</v>
      </c>
      <c r="G3" t="e">
        <f>AND('4-20 mA'!G25,"AAAAAHNlrwY=")</f>
        <v>#VALUE!</v>
      </c>
      <c r="H3" t="e">
        <f>AND('4-20 mA'!F25,"AAAAAHNlrwc=")</f>
        <v>#VALUE!</v>
      </c>
      <c r="I3" t="e">
        <f>AND('4-20 mA'!H25,"AAAAAHNlrwg=")</f>
        <v>#VALUE!</v>
      </c>
      <c r="J3" t="e">
        <f>AND('4-20 mA'!#REF!,"AAAAAHNlrwk=")</f>
        <v>#REF!</v>
      </c>
      <c r="K3" t="e">
        <f>AND('4-20 mA'!#REF!,"AAAAAHNlrwo=")</f>
        <v>#REF!</v>
      </c>
      <c r="L3" t="e">
        <f>AND('4-20 mA'!I25,"AAAAAHNlrws=")</f>
        <v>#VALUE!</v>
      </c>
      <c r="M3" t="e">
        <f>AND('4-20 mA'!J25,"AAAAAHNlrww=")</f>
        <v>#VALUE!</v>
      </c>
      <c r="N3">
        <f>IF('4-20 mA'!26:26,"AAAAAHNlrw0=",0)</f>
        <v>0</v>
      </c>
      <c r="O3" t="e">
        <f>AND('4-20 mA'!A26,"AAAAAHNlrw4=")</f>
        <v>#VALUE!</v>
      </c>
      <c r="P3" t="e">
        <f>AND('4-20 mA'!B26,"AAAAAHNlrw8=")</f>
        <v>#VALUE!</v>
      </c>
      <c r="Q3" t="e">
        <f>AND('4-20 mA'!C26,"AAAAAHNlrxA=")</f>
        <v>#VALUE!</v>
      </c>
      <c r="R3" t="e">
        <f>AND('4-20 mA'!D26,"AAAAAHNlrxE=")</f>
        <v>#VALUE!</v>
      </c>
      <c r="S3" t="e">
        <f>AND('4-20 mA'!E26,"AAAAAHNlrxI=")</f>
        <v>#VALUE!</v>
      </c>
      <c r="T3" t="e">
        <f>AND('4-20 mA'!G26,"AAAAAHNlrxM=")</f>
        <v>#VALUE!</v>
      </c>
      <c r="U3" t="e">
        <f>AND('4-20 mA'!F26,"AAAAAHNlrxQ=")</f>
        <v>#VALUE!</v>
      </c>
      <c r="V3" t="e">
        <f>AND('4-20 mA'!H26,"AAAAAHNlrxU=")</f>
        <v>#VALUE!</v>
      </c>
      <c r="W3" t="e">
        <f>AND('4-20 mA'!#REF!,"AAAAAHNlrxY=")</f>
        <v>#REF!</v>
      </c>
      <c r="X3" t="e">
        <f>AND('4-20 mA'!#REF!,"AAAAAHNlrxc=")</f>
        <v>#REF!</v>
      </c>
      <c r="Y3" t="e">
        <f>AND('4-20 mA'!I26,"AAAAAHNlrxg=")</f>
        <v>#VALUE!</v>
      </c>
      <c r="Z3" t="e">
        <f>AND('4-20 mA'!J26,"AAAAAHNlrxk=")</f>
        <v>#VALUE!</v>
      </c>
      <c r="AA3">
        <f>IF('4-20 mA'!27:27,"AAAAAHNlrxo=",0)</f>
        <v>0</v>
      </c>
      <c r="AB3" t="e">
        <f>AND('4-20 mA'!A27,"AAAAAHNlrxs=")</f>
        <v>#VALUE!</v>
      </c>
      <c r="AC3" t="e">
        <f>AND('4-20 mA'!B27,"AAAAAHNlrxw=")</f>
        <v>#VALUE!</v>
      </c>
      <c r="AD3" t="e">
        <f>AND('4-20 mA'!C27,"AAAAAHNlrx0=")</f>
        <v>#VALUE!</v>
      </c>
      <c r="AE3" t="e">
        <f>AND('4-20 mA'!D27,"AAAAAHNlrx4=")</f>
        <v>#VALUE!</v>
      </c>
      <c r="AF3" t="e">
        <f>AND('4-20 mA'!E27,"AAAAAHNlrx8=")</f>
        <v>#VALUE!</v>
      </c>
      <c r="AG3" t="e">
        <f>AND('4-20 mA'!G27,"AAAAAHNlryA=")</f>
        <v>#VALUE!</v>
      </c>
      <c r="AH3" t="e">
        <f>AND('4-20 mA'!F27,"AAAAAHNlryE=")</f>
        <v>#VALUE!</v>
      </c>
      <c r="AI3" t="e">
        <f>AND('4-20 mA'!H27,"AAAAAHNlryI=")</f>
        <v>#VALUE!</v>
      </c>
      <c r="AJ3" t="e">
        <f>AND('4-20 mA'!#REF!,"AAAAAHNlryM=")</f>
        <v>#REF!</v>
      </c>
      <c r="AK3" t="e">
        <f>AND('4-20 mA'!#REF!,"AAAAAHNlryQ=")</f>
        <v>#REF!</v>
      </c>
      <c r="AL3" t="e">
        <f>AND('4-20 mA'!I27,"AAAAAHNlryU=")</f>
        <v>#VALUE!</v>
      </c>
      <c r="AM3" t="e">
        <f>AND('4-20 mA'!J27,"AAAAAHNlryY=")</f>
        <v>#VALUE!</v>
      </c>
      <c r="AN3">
        <f>IF('4-20 mA'!28:28,"AAAAAHNlryc=",0)</f>
        <v>0</v>
      </c>
      <c r="AO3" t="e">
        <f>AND('4-20 mA'!A28,"AAAAAHNlryg=")</f>
        <v>#VALUE!</v>
      </c>
      <c r="AP3" t="e">
        <f>AND('4-20 mA'!B28,"AAAAAHNlryk=")</f>
        <v>#VALUE!</v>
      </c>
      <c r="AQ3" t="e">
        <f>AND('4-20 mA'!C28,"AAAAAHNlryo=")</f>
        <v>#VALUE!</v>
      </c>
      <c r="AR3" t="e">
        <f>AND('4-20 mA'!D28,"AAAAAHNlrys=")</f>
        <v>#VALUE!</v>
      </c>
      <c r="AS3" t="e">
        <f>AND('4-20 mA'!E28,"AAAAAHNlryw=")</f>
        <v>#VALUE!</v>
      </c>
      <c r="AT3" t="e">
        <f>AND('4-20 mA'!G28,"AAAAAHNlry0=")</f>
        <v>#VALUE!</v>
      </c>
      <c r="AU3" t="e">
        <f>AND('4-20 mA'!F28,"AAAAAHNlry4=")</f>
        <v>#VALUE!</v>
      </c>
      <c r="AV3" t="e">
        <f>AND('4-20 mA'!H28,"AAAAAHNlry8=")</f>
        <v>#VALUE!</v>
      </c>
      <c r="AW3" t="e">
        <f>AND('4-20 mA'!#REF!,"AAAAAHNlrzA=")</f>
        <v>#REF!</v>
      </c>
      <c r="AX3" t="e">
        <f>AND('4-20 mA'!#REF!,"AAAAAHNlrzE=")</f>
        <v>#REF!</v>
      </c>
      <c r="AY3" t="e">
        <f>AND('4-20 mA'!I28,"AAAAAHNlrzI=")</f>
        <v>#VALUE!</v>
      </c>
      <c r="AZ3" t="e">
        <f>AND('4-20 mA'!J28,"AAAAAHNlrzM=")</f>
        <v>#VALUE!</v>
      </c>
      <c r="BA3">
        <f>IF('4-20 mA'!29:29,"AAAAAHNlrzQ=",0)</f>
        <v>0</v>
      </c>
      <c r="BB3" t="e">
        <f>AND('4-20 mA'!A29,"AAAAAHNlrzU=")</f>
        <v>#VALUE!</v>
      </c>
      <c r="BC3" t="e">
        <f>AND('4-20 mA'!B29,"AAAAAHNlrzY=")</f>
        <v>#VALUE!</v>
      </c>
      <c r="BD3" t="e">
        <f>AND('4-20 mA'!C29,"AAAAAHNlrzc=")</f>
        <v>#VALUE!</v>
      </c>
      <c r="BE3" t="e">
        <f>AND('4-20 mA'!D29,"AAAAAHNlrzg=")</f>
        <v>#VALUE!</v>
      </c>
      <c r="BF3" t="e">
        <f>AND('4-20 mA'!E29,"AAAAAHNlrzk=")</f>
        <v>#VALUE!</v>
      </c>
      <c r="BG3" t="e">
        <f>AND('4-20 mA'!G29,"AAAAAHNlrzo=")</f>
        <v>#VALUE!</v>
      </c>
      <c r="BH3" t="e">
        <f>AND('4-20 mA'!F29,"AAAAAHNlrzs=")</f>
        <v>#VALUE!</v>
      </c>
      <c r="BI3" t="e">
        <f>AND('4-20 mA'!H29,"AAAAAHNlrzw=")</f>
        <v>#VALUE!</v>
      </c>
      <c r="BJ3" t="e">
        <f>AND('4-20 mA'!#REF!,"AAAAAHNlrz0=")</f>
        <v>#REF!</v>
      </c>
      <c r="BK3" t="e">
        <f>AND('4-20 mA'!#REF!,"AAAAAHNlrz4=")</f>
        <v>#REF!</v>
      </c>
      <c r="BL3" t="e">
        <f>AND('4-20 mA'!I29,"AAAAAHNlrz8=")</f>
        <v>#VALUE!</v>
      </c>
      <c r="BM3" t="e">
        <f>AND('4-20 mA'!J29,"AAAAAHNlr0A=")</f>
        <v>#VALUE!</v>
      </c>
    </row>
    <row r="4" spans="1:256">
      <c r="A4">
        <f>IF('4-20 mA'!30:30,"AAAAAF3H7wA=",0)</f>
        <v>0</v>
      </c>
      <c r="B4" t="e">
        <f>AND('4-20 mA'!A30,"AAAAAF3H7wE=")</f>
        <v>#VALUE!</v>
      </c>
      <c r="C4" t="e">
        <f>AND('4-20 mA'!B30,"AAAAAF3H7wI=")</f>
        <v>#VALUE!</v>
      </c>
      <c r="D4" t="e">
        <f>AND('4-20 mA'!C30,"AAAAAF3H7wM=")</f>
        <v>#VALUE!</v>
      </c>
      <c r="E4" t="e">
        <f>AND('4-20 mA'!D30,"AAAAAF3H7wQ=")</f>
        <v>#VALUE!</v>
      </c>
      <c r="F4" t="e">
        <f>AND('4-20 mA'!E30,"AAAAAF3H7wU=")</f>
        <v>#VALUE!</v>
      </c>
      <c r="G4" t="e">
        <f>AND('4-20 mA'!G30,"AAAAAF3H7wY=")</f>
        <v>#VALUE!</v>
      </c>
      <c r="H4" t="e">
        <f>AND('4-20 mA'!F30,"AAAAAF3H7wc=")</f>
        <v>#VALUE!</v>
      </c>
      <c r="I4" t="e">
        <f>AND('4-20 mA'!H30,"AAAAAF3H7wg=")</f>
        <v>#VALUE!</v>
      </c>
      <c r="J4" t="e">
        <f>AND('4-20 mA'!#REF!,"AAAAAF3H7wk=")</f>
        <v>#REF!</v>
      </c>
      <c r="K4" t="e">
        <f>AND('4-20 mA'!#REF!,"AAAAAF3H7wo=")</f>
        <v>#REF!</v>
      </c>
      <c r="L4" t="e">
        <f>AND('4-20 mA'!I30,"AAAAAF3H7ws=")</f>
        <v>#VALUE!</v>
      </c>
      <c r="M4" t="e">
        <f>AND('4-20 mA'!J30,"AAAAAF3H7ww=")</f>
        <v>#VALUE!</v>
      </c>
      <c r="N4">
        <f>IF('4-20 mA'!31:31,"AAAAAF3H7w0=",0)</f>
        <v>0</v>
      </c>
      <c r="O4" t="e">
        <f>AND('4-20 mA'!A31,"AAAAAF3H7w4=")</f>
        <v>#VALUE!</v>
      </c>
      <c r="P4" t="e">
        <f>AND('4-20 mA'!B31,"AAAAAF3H7w8=")</f>
        <v>#VALUE!</v>
      </c>
      <c r="Q4" t="e">
        <f>AND('4-20 mA'!C31,"AAAAAF3H7xA=")</f>
        <v>#VALUE!</v>
      </c>
      <c r="R4" t="e">
        <f>AND('4-20 mA'!D31,"AAAAAF3H7xE=")</f>
        <v>#VALUE!</v>
      </c>
      <c r="S4" t="e">
        <f>AND('4-20 mA'!E31,"AAAAAF3H7xI=")</f>
        <v>#VALUE!</v>
      </c>
      <c r="T4" t="e">
        <f>AND('4-20 mA'!G31,"AAAAAF3H7xM=")</f>
        <v>#VALUE!</v>
      </c>
      <c r="U4" t="e">
        <f>AND('4-20 mA'!F31,"AAAAAF3H7xQ=")</f>
        <v>#VALUE!</v>
      </c>
      <c r="V4" t="e">
        <f>AND('4-20 mA'!H31,"AAAAAF3H7xU=")</f>
        <v>#VALUE!</v>
      </c>
      <c r="W4" t="e">
        <f>AND('4-20 mA'!#REF!,"AAAAAF3H7xY=")</f>
        <v>#REF!</v>
      </c>
      <c r="X4" t="e">
        <f>AND('4-20 mA'!#REF!,"AAAAAF3H7xc=")</f>
        <v>#REF!</v>
      </c>
      <c r="Y4" t="e">
        <f>AND('4-20 mA'!I31,"AAAAAF3H7xg=")</f>
        <v>#VALUE!</v>
      </c>
      <c r="Z4" t="e">
        <f>AND('4-20 mA'!J31,"AAAAAF3H7xk=")</f>
        <v>#VALUE!</v>
      </c>
      <c r="AA4">
        <f>IF('4-20 mA'!32:32,"AAAAAF3H7xo=",0)</f>
        <v>0</v>
      </c>
      <c r="AB4" t="e">
        <f>AND('4-20 mA'!A32,"AAAAAF3H7xs=")</f>
        <v>#VALUE!</v>
      </c>
      <c r="AC4" t="e">
        <f>AND('4-20 mA'!B32,"AAAAAF3H7xw=")</f>
        <v>#VALUE!</v>
      </c>
      <c r="AD4" t="e">
        <f>AND('4-20 mA'!C32,"AAAAAF3H7x0=")</f>
        <v>#VALUE!</v>
      </c>
      <c r="AE4" t="e">
        <f>AND('4-20 mA'!D32,"AAAAAF3H7x4=")</f>
        <v>#VALUE!</v>
      </c>
      <c r="AF4" t="e">
        <f>AND('4-20 mA'!E32,"AAAAAF3H7x8=")</f>
        <v>#VALUE!</v>
      </c>
      <c r="AG4" t="e">
        <f>AND('4-20 mA'!G32,"AAAAAF3H7yA=")</f>
        <v>#VALUE!</v>
      </c>
      <c r="AH4" t="e">
        <f>AND('4-20 mA'!F32,"AAAAAF3H7yE=")</f>
        <v>#VALUE!</v>
      </c>
      <c r="AI4" t="e">
        <f>AND('4-20 mA'!H32,"AAAAAF3H7yI=")</f>
        <v>#VALUE!</v>
      </c>
      <c r="AJ4" t="e">
        <f>AND('4-20 mA'!#REF!,"AAAAAF3H7yM=")</f>
        <v>#REF!</v>
      </c>
      <c r="AK4" t="e">
        <f>AND('4-20 mA'!#REF!,"AAAAAF3H7yQ=")</f>
        <v>#REF!</v>
      </c>
      <c r="AL4" t="e">
        <f>AND('4-20 mA'!I32,"AAAAAF3H7yU=")</f>
        <v>#VALUE!</v>
      </c>
      <c r="AM4" t="e">
        <f>AND('4-20 mA'!J32,"AAAAAF3H7yY=")</f>
        <v>#VALUE!</v>
      </c>
      <c r="AN4">
        <f>IF('4-20 mA'!33:33,"AAAAAF3H7yc=",0)</f>
        <v>0</v>
      </c>
      <c r="AO4" t="e">
        <f>AND('4-20 mA'!A33,"AAAAAF3H7yg=")</f>
        <v>#VALUE!</v>
      </c>
      <c r="AP4" t="e">
        <f>AND('4-20 mA'!B33,"AAAAAF3H7yk=")</f>
        <v>#VALUE!</v>
      </c>
      <c r="AQ4" t="e">
        <f>AND('4-20 mA'!C33,"AAAAAF3H7yo=")</f>
        <v>#VALUE!</v>
      </c>
      <c r="AR4" t="e">
        <f>AND('4-20 mA'!D33,"AAAAAF3H7ys=")</f>
        <v>#VALUE!</v>
      </c>
      <c r="AS4" t="e">
        <f>AND('4-20 mA'!E33,"AAAAAF3H7yw=")</f>
        <v>#VALUE!</v>
      </c>
      <c r="AT4" t="e">
        <f>AND('4-20 mA'!G33,"AAAAAF3H7y0=")</f>
        <v>#VALUE!</v>
      </c>
      <c r="AU4" t="e">
        <f>AND('4-20 mA'!F33,"AAAAAF3H7y4=")</f>
        <v>#VALUE!</v>
      </c>
      <c r="AV4" t="e">
        <f>AND('4-20 mA'!H33,"AAAAAF3H7y8=")</f>
        <v>#VALUE!</v>
      </c>
      <c r="AW4" t="e">
        <f>AND('4-20 mA'!#REF!,"AAAAAF3H7zA=")</f>
        <v>#REF!</v>
      </c>
      <c r="AX4" t="e">
        <f>AND('4-20 mA'!#REF!,"AAAAAF3H7zE=")</f>
        <v>#REF!</v>
      </c>
      <c r="AY4" t="e">
        <f>AND('4-20 mA'!I33,"AAAAAF3H7zI=")</f>
        <v>#VALUE!</v>
      </c>
      <c r="AZ4" t="e">
        <f>AND('4-20 mA'!J33,"AAAAAF3H7zM=")</f>
        <v>#VALUE!</v>
      </c>
      <c r="BA4">
        <f>IF('4-20 mA'!34:34,"AAAAAF3H7zQ=",0)</f>
        <v>0</v>
      </c>
      <c r="BB4" t="e">
        <f>AND('4-20 mA'!A34,"AAAAAF3H7zU=")</f>
        <v>#VALUE!</v>
      </c>
      <c r="BC4" t="e">
        <f>AND('4-20 mA'!B34,"AAAAAF3H7zY=")</f>
        <v>#VALUE!</v>
      </c>
      <c r="BD4" t="e">
        <f>AND('4-20 mA'!C34,"AAAAAF3H7zc=")</f>
        <v>#VALUE!</v>
      </c>
      <c r="BE4" t="e">
        <f>AND('4-20 mA'!D34,"AAAAAF3H7zg=")</f>
        <v>#VALUE!</v>
      </c>
      <c r="BF4" t="e">
        <f>AND('4-20 mA'!E34,"AAAAAF3H7zk=")</f>
        <v>#VALUE!</v>
      </c>
      <c r="BG4" t="e">
        <f>AND('4-20 mA'!G34,"AAAAAF3H7zo=")</f>
        <v>#VALUE!</v>
      </c>
      <c r="BH4" t="e">
        <f>AND('4-20 mA'!F34,"AAAAAF3H7zs=")</f>
        <v>#VALUE!</v>
      </c>
      <c r="BI4" t="e">
        <f>AND('4-20 mA'!H34,"AAAAAF3H7zw=")</f>
        <v>#VALUE!</v>
      </c>
      <c r="BJ4" t="e">
        <f>AND('4-20 mA'!#REF!,"AAAAAF3H7z0=")</f>
        <v>#REF!</v>
      </c>
      <c r="BK4" t="e">
        <f>AND('4-20 mA'!#REF!,"AAAAAF3H7z4=")</f>
        <v>#REF!</v>
      </c>
      <c r="BL4" t="e">
        <f>AND('4-20 mA'!I34,"AAAAAF3H7z8=")</f>
        <v>#VALUE!</v>
      </c>
      <c r="BM4" t="e">
        <f>AND('4-20 mA'!J34,"AAAAAF3H70A=")</f>
        <v>#VALUE!</v>
      </c>
      <c r="BN4">
        <f>IF('4-20 mA'!35:35,"AAAAAF3H70E=",0)</f>
        <v>0</v>
      </c>
      <c r="BO4" t="e">
        <f>AND('4-20 mA'!A35,"AAAAAF3H70I=")</f>
        <v>#VALUE!</v>
      </c>
      <c r="BP4" t="e">
        <f>AND('4-20 mA'!B35,"AAAAAF3H70M=")</f>
        <v>#VALUE!</v>
      </c>
      <c r="BQ4" t="e">
        <f>AND('4-20 mA'!C35,"AAAAAF3H70Q=")</f>
        <v>#VALUE!</v>
      </c>
      <c r="BR4" t="e">
        <f>AND('4-20 mA'!D35,"AAAAAF3H70U=")</f>
        <v>#VALUE!</v>
      </c>
      <c r="BS4" t="e">
        <f>AND('4-20 mA'!E35,"AAAAAF3H70Y=")</f>
        <v>#VALUE!</v>
      </c>
      <c r="BT4" t="e">
        <f>AND('4-20 mA'!G35,"AAAAAF3H70c=")</f>
        <v>#VALUE!</v>
      </c>
      <c r="BU4" t="e">
        <f>AND('4-20 mA'!F35,"AAAAAF3H70g=")</f>
        <v>#VALUE!</v>
      </c>
      <c r="BV4" t="e">
        <f>AND('4-20 mA'!H35,"AAAAAF3H70k=")</f>
        <v>#VALUE!</v>
      </c>
      <c r="BW4" t="e">
        <f>AND('4-20 mA'!#REF!,"AAAAAF3H70o=")</f>
        <v>#REF!</v>
      </c>
      <c r="BX4" t="e">
        <f>AND('4-20 mA'!#REF!,"AAAAAF3H70s=")</f>
        <v>#REF!</v>
      </c>
      <c r="BY4" t="e">
        <f>AND('4-20 mA'!I35,"AAAAAF3H70w=")</f>
        <v>#VALUE!</v>
      </c>
      <c r="BZ4" t="e">
        <f>AND('4-20 mA'!J35,"AAAAAF3H700=")</f>
        <v>#VALUE!</v>
      </c>
      <c r="CA4">
        <f>IF('4-20 mA'!36:36,"AAAAAF3H704=",0)</f>
        <v>0</v>
      </c>
      <c r="CB4" t="e">
        <f>AND('4-20 mA'!A36,"AAAAAF3H708=")</f>
        <v>#VALUE!</v>
      </c>
      <c r="CC4" t="e">
        <f>AND('4-20 mA'!B36,"AAAAAF3H71A=")</f>
        <v>#VALUE!</v>
      </c>
      <c r="CD4" t="e">
        <f>AND('4-20 mA'!C36,"AAAAAF3H71E=")</f>
        <v>#VALUE!</v>
      </c>
      <c r="CE4" t="e">
        <f>AND('4-20 mA'!D36,"AAAAAF3H71I=")</f>
        <v>#VALUE!</v>
      </c>
      <c r="CF4" t="e">
        <f>AND('4-20 mA'!E36,"AAAAAF3H71M=")</f>
        <v>#VALUE!</v>
      </c>
      <c r="CG4" t="e">
        <f>AND('4-20 mA'!G36,"AAAAAF3H71Q=")</f>
        <v>#VALUE!</v>
      </c>
      <c r="CH4" t="e">
        <f>AND('4-20 mA'!F36,"AAAAAF3H71U=")</f>
        <v>#VALUE!</v>
      </c>
      <c r="CI4" t="e">
        <f>AND('4-20 mA'!H36,"AAAAAF3H71Y=")</f>
        <v>#VALUE!</v>
      </c>
      <c r="CJ4" t="e">
        <f>AND('4-20 mA'!#REF!,"AAAAAF3H71c=")</f>
        <v>#REF!</v>
      </c>
      <c r="CK4" t="e">
        <f>AND('4-20 mA'!#REF!,"AAAAAF3H71g=")</f>
        <v>#REF!</v>
      </c>
      <c r="CL4" t="e">
        <f>AND('4-20 mA'!I36,"AAAAAF3H71k=")</f>
        <v>#VALUE!</v>
      </c>
      <c r="CM4" t="e">
        <f>AND('4-20 mA'!J36,"AAAAAF3H71o=")</f>
        <v>#VALUE!</v>
      </c>
      <c r="CN4">
        <f>IF('4-20 mA'!37:37,"AAAAAF3H71s=",0)</f>
        <v>0</v>
      </c>
      <c r="CO4" t="e">
        <f>AND('4-20 mA'!A37,"AAAAAF3H71w=")</f>
        <v>#VALUE!</v>
      </c>
      <c r="CP4" t="e">
        <f>AND('4-20 mA'!B37,"AAAAAF3H710=")</f>
        <v>#VALUE!</v>
      </c>
      <c r="CQ4" t="e">
        <f>AND('4-20 mA'!C37,"AAAAAF3H714=")</f>
        <v>#VALUE!</v>
      </c>
      <c r="CR4" t="e">
        <f>AND('4-20 mA'!D37,"AAAAAF3H718=")</f>
        <v>#VALUE!</v>
      </c>
      <c r="CS4" t="e">
        <f>AND('4-20 mA'!E37,"AAAAAF3H72A=")</f>
        <v>#VALUE!</v>
      </c>
      <c r="CT4" t="e">
        <f>AND('4-20 mA'!G37,"AAAAAF3H72E=")</f>
        <v>#VALUE!</v>
      </c>
      <c r="CU4" t="e">
        <f>AND('4-20 mA'!F37,"AAAAAF3H72I=")</f>
        <v>#VALUE!</v>
      </c>
      <c r="CV4" t="e">
        <f>AND('4-20 mA'!H37,"AAAAAF3H72M=")</f>
        <v>#VALUE!</v>
      </c>
      <c r="CW4" t="e">
        <f>AND('4-20 mA'!#REF!,"AAAAAF3H72Q=")</f>
        <v>#REF!</v>
      </c>
      <c r="CX4" t="e">
        <f>AND('4-20 mA'!#REF!,"AAAAAF3H72U=")</f>
        <v>#REF!</v>
      </c>
      <c r="CY4" t="e">
        <f>AND('4-20 mA'!I37,"AAAAAF3H72Y=")</f>
        <v>#VALUE!</v>
      </c>
      <c r="CZ4" t="e">
        <f>AND('4-20 mA'!J37,"AAAAAF3H72c=")</f>
        <v>#VALUE!</v>
      </c>
      <c r="DA4">
        <f>IF('4-20 mA'!38:38,"AAAAAF3H72g=",0)</f>
        <v>0</v>
      </c>
      <c r="DB4" t="e">
        <f>AND('4-20 mA'!A38,"AAAAAF3H72k=")</f>
        <v>#VALUE!</v>
      </c>
      <c r="DC4" t="e">
        <f>AND('4-20 mA'!B38,"AAAAAF3H72o=")</f>
        <v>#VALUE!</v>
      </c>
      <c r="DD4" t="e">
        <f>AND('4-20 mA'!C38,"AAAAAF3H72s=")</f>
        <v>#VALUE!</v>
      </c>
      <c r="DE4" t="e">
        <f>AND('4-20 mA'!D38,"AAAAAF3H72w=")</f>
        <v>#VALUE!</v>
      </c>
      <c r="DF4" t="e">
        <f>AND('4-20 mA'!E38,"AAAAAF3H720=")</f>
        <v>#VALUE!</v>
      </c>
      <c r="DG4" t="e">
        <f>AND('4-20 mA'!G38,"AAAAAF3H724=")</f>
        <v>#VALUE!</v>
      </c>
      <c r="DH4" t="e">
        <f>AND('4-20 mA'!F38,"AAAAAF3H728=")</f>
        <v>#VALUE!</v>
      </c>
      <c r="DI4" t="e">
        <f>AND('4-20 mA'!H38,"AAAAAF3H73A=")</f>
        <v>#VALUE!</v>
      </c>
      <c r="DJ4" t="e">
        <f>AND('4-20 mA'!#REF!,"AAAAAF3H73E=")</f>
        <v>#REF!</v>
      </c>
      <c r="DK4" t="e">
        <f>AND('4-20 mA'!#REF!,"AAAAAF3H73I=")</f>
        <v>#REF!</v>
      </c>
      <c r="DL4" t="e">
        <f>AND('4-20 mA'!I38,"AAAAAF3H73M=")</f>
        <v>#VALUE!</v>
      </c>
      <c r="DM4" t="e">
        <f>AND('4-20 mA'!J38,"AAAAAF3H73Q=")</f>
        <v>#VALUE!</v>
      </c>
      <c r="DN4">
        <f>IF('4-20 mA'!39:39,"AAAAAF3H73U=",0)</f>
        <v>0</v>
      </c>
      <c r="DO4" t="e">
        <f>AND('4-20 mA'!A39,"AAAAAF3H73Y=")</f>
        <v>#VALUE!</v>
      </c>
      <c r="DP4" t="e">
        <f>AND('4-20 mA'!B39,"AAAAAF3H73c=")</f>
        <v>#VALUE!</v>
      </c>
      <c r="DQ4" t="e">
        <f>AND('4-20 mA'!C39,"AAAAAF3H73g=")</f>
        <v>#VALUE!</v>
      </c>
      <c r="DR4" t="e">
        <f>AND('4-20 mA'!D39,"AAAAAF3H73k=")</f>
        <v>#VALUE!</v>
      </c>
      <c r="DS4" t="e">
        <f>AND('4-20 mA'!E39,"AAAAAF3H73o=")</f>
        <v>#VALUE!</v>
      </c>
      <c r="DT4" t="e">
        <f>AND('4-20 mA'!G39,"AAAAAF3H73s=")</f>
        <v>#VALUE!</v>
      </c>
      <c r="DU4" t="e">
        <f>AND('4-20 mA'!F39,"AAAAAF3H73w=")</f>
        <v>#VALUE!</v>
      </c>
      <c r="DV4" t="e">
        <f>AND('4-20 mA'!H39,"AAAAAF3H730=")</f>
        <v>#VALUE!</v>
      </c>
      <c r="DW4" t="e">
        <f>AND('4-20 mA'!#REF!,"AAAAAF3H734=")</f>
        <v>#REF!</v>
      </c>
      <c r="DX4" t="e">
        <f>AND('4-20 mA'!#REF!,"AAAAAF3H738=")</f>
        <v>#REF!</v>
      </c>
      <c r="DY4" t="e">
        <f>AND('4-20 mA'!I39,"AAAAAF3H74A=")</f>
        <v>#VALUE!</v>
      </c>
      <c r="DZ4" t="e">
        <f>AND('4-20 mA'!J39,"AAAAAF3H74E=")</f>
        <v>#VALUE!</v>
      </c>
      <c r="EA4">
        <f>IF('4-20 mA'!40:40,"AAAAAF3H74I=",0)</f>
        <v>0</v>
      </c>
      <c r="EB4" t="e">
        <f>AND('4-20 mA'!A40,"AAAAAF3H74M=")</f>
        <v>#VALUE!</v>
      </c>
      <c r="EC4" t="e">
        <f>AND('4-20 mA'!B40,"AAAAAF3H74Q=")</f>
        <v>#VALUE!</v>
      </c>
      <c r="ED4" t="e">
        <f>AND('4-20 mA'!C40,"AAAAAF3H74U=")</f>
        <v>#VALUE!</v>
      </c>
      <c r="EE4" t="e">
        <f>AND('4-20 mA'!D40,"AAAAAF3H74Y=")</f>
        <v>#VALUE!</v>
      </c>
      <c r="EF4" t="e">
        <f>AND('4-20 mA'!E40,"AAAAAF3H74c=")</f>
        <v>#VALUE!</v>
      </c>
      <c r="EG4" t="e">
        <f>AND('4-20 mA'!G40,"AAAAAF3H74g=")</f>
        <v>#VALUE!</v>
      </c>
      <c r="EH4" t="e">
        <f>AND('4-20 mA'!F40,"AAAAAF3H74k=")</f>
        <v>#VALUE!</v>
      </c>
      <c r="EI4" t="e">
        <f>AND('4-20 mA'!H40,"AAAAAF3H74o=")</f>
        <v>#VALUE!</v>
      </c>
      <c r="EJ4" t="e">
        <f>AND('4-20 mA'!#REF!,"AAAAAF3H74s=")</f>
        <v>#REF!</v>
      </c>
      <c r="EK4" t="e">
        <f>AND('4-20 mA'!#REF!,"AAAAAF3H74w=")</f>
        <v>#REF!</v>
      </c>
      <c r="EL4" t="e">
        <f>AND('4-20 mA'!I40,"AAAAAF3H740=")</f>
        <v>#VALUE!</v>
      </c>
      <c r="EM4" t="e">
        <f>AND('4-20 mA'!J40,"AAAAAF3H744=")</f>
        <v>#VALUE!</v>
      </c>
      <c r="EN4">
        <f>IF('4-20 mA'!41:41,"AAAAAF3H748=",0)</f>
        <v>0</v>
      </c>
      <c r="EO4" t="e">
        <f>AND('4-20 mA'!A41,"AAAAAF3H75A=")</f>
        <v>#VALUE!</v>
      </c>
      <c r="EP4" t="e">
        <f>AND('4-20 mA'!B41,"AAAAAF3H75E=")</f>
        <v>#VALUE!</v>
      </c>
      <c r="EQ4" t="e">
        <f>AND('4-20 mA'!C41,"AAAAAF3H75I=")</f>
        <v>#VALUE!</v>
      </c>
      <c r="ER4" t="e">
        <f>AND('4-20 mA'!D41,"AAAAAF3H75M=")</f>
        <v>#VALUE!</v>
      </c>
      <c r="ES4" t="e">
        <f>AND('4-20 mA'!E41,"AAAAAF3H75Q=")</f>
        <v>#VALUE!</v>
      </c>
      <c r="ET4" t="e">
        <f>AND('4-20 mA'!G41,"AAAAAF3H75U=")</f>
        <v>#VALUE!</v>
      </c>
      <c r="EU4" t="e">
        <f>AND('4-20 mA'!F41,"AAAAAF3H75Y=")</f>
        <v>#VALUE!</v>
      </c>
      <c r="EV4" t="e">
        <f>AND('4-20 mA'!H41,"AAAAAF3H75c=")</f>
        <v>#VALUE!</v>
      </c>
      <c r="EW4" t="e">
        <f>AND('4-20 mA'!#REF!,"AAAAAF3H75g=")</f>
        <v>#REF!</v>
      </c>
      <c r="EX4" t="e">
        <f>AND('4-20 mA'!#REF!,"AAAAAF3H75k=")</f>
        <v>#REF!</v>
      </c>
      <c r="EY4" t="e">
        <f>AND('4-20 mA'!I41,"AAAAAF3H75o=")</f>
        <v>#VALUE!</v>
      </c>
      <c r="EZ4" t="e">
        <f>AND('4-20 mA'!J41,"AAAAAF3H75s=")</f>
        <v>#VALUE!</v>
      </c>
      <c r="FA4">
        <f>IF('4-20 mA'!42:42,"AAAAAF3H75w=",0)</f>
        <v>0</v>
      </c>
      <c r="FB4" t="e">
        <f>AND('4-20 mA'!A42,"AAAAAF3H750=")</f>
        <v>#VALUE!</v>
      </c>
      <c r="FC4" t="e">
        <f>AND('4-20 mA'!B42,"AAAAAF3H754=")</f>
        <v>#VALUE!</v>
      </c>
      <c r="FD4" t="e">
        <f>AND('4-20 mA'!C42,"AAAAAF3H758=")</f>
        <v>#VALUE!</v>
      </c>
      <c r="FE4" t="e">
        <f>AND('4-20 mA'!D42,"AAAAAF3H76A=")</f>
        <v>#VALUE!</v>
      </c>
      <c r="FF4" t="e">
        <f>AND('4-20 mA'!E42,"AAAAAF3H76E=")</f>
        <v>#VALUE!</v>
      </c>
      <c r="FG4" t="e">
        <f>AND('4-20 mA'!G42,"AAAAAF3H76I=")</f>
        <v>#VALUE!</v>
      </c>
      <c r="FH4" t="e">
        <f>AND('4-20 mA'!F42,"AAAAAF3H76M=")</f>
        <v>#VALUE!</v>
      </c>
      <c r="FI4" t="e">
        <f>AND('4-20 mA'!H42,"AAAAAF3H76Q=")</f>
        <v>#VALUE!</v>
      </c>
      <c r="FJ4" t="e">
        <f>AND('4-20 mA'!#REF!,"AAAAAF3H76U=")</f>
        <v>#REF!</v>
      </c>
      <c r="FK4" t="e">
        <f>AND('4-20 mA'!#REF!,"AAAAAF3H76Y=")</f>
        <v>#REF!</v>
      </c>
      <c r="FL4" t="e">
        <f>AND('4-20 mA'!I42,"AAAAAF3H76c=")</f>
        <v>#VALUE!</v>
      </c>
      <c r="FM4" t="e">
        <f>AND('4-20 mA'!J42,"AAAAAF3H76g=")</f>
        <v>#VALUE!</v>
      </c>
      <c r="FN4">
        <f>IF('4-20 mA'!43:43,"AAAAAF3H76k=",0)</f>
        <v>0</v>
      </c>
      <c r="FO4" t="e">
        <f>AND('4-20 mA'!A43,"AAAAAF3H76o=")</f>
        <v>#VALUE!</v>
      </c>
      <c r="FP4" t="e">
        <f>AND('4-20 mA'!B43,"AAAAAF3H76s=")</f>
        <v>#VALUE!</v>
      </c>
      <c r="FQ4" t="e">
        <f>AND('4-20 mA'!C43,"AAAAAF3H76w=")</f>
        <v>#VALUE!</v>
      </c>
      <c r="FR4" t="e">
        <f>AND('4-20 mA'!D43,"AAAAAF3H760=")</f>
        <v>#VALUE!</v>
      </c>
      <c r="FS4" t="e">
        <f>AND('4-20 mA'!E43,"AAAAAF3H764=")</f>
        <v>#VALUE!</v>
      </c>
      <c r="FT4" t="e">
        <f>AND('4-20 mA'!G43,"AAAAAF3H768=")</f>
        <v>#VALUE!</v>
      </c>
      <c r="FU4" t="e">
        <f>AND('4-20 mA'!F43,"AAAAAF3H77A=")</f>
        <v>#VALUE!</v>
      </c>
      <c r="FV4" t="e">
        <f>AND('4-20 mA'!H43,"AAAAAF3H77E=")</f>
        <v>#VALUE!</v>
      </c>
      <c r="FW4" t="e">
        <f>AND('4-20 mA'!#REF!,"AAAAAF3H77I=")</f>
        <v>#REF!</v>
      </c>
      <c r="FX4" t="e">
        <f>AND('4-20 mA'!#REF!,"AAAAAF3H77M=")</f>
        <v>#REF!</v>
      </c>
      <c r="FY4" t="e">
        <f>AND('4-20 mA'!I43,"AAAAAF3H77Q=")</f>
        <v>#VALUE!</v>
      </c>
      <c r="FZ4" t="e">
        <f>AND('4-20 mA'!J43,"AAAAAF3H77U=")</f>
        <v>#VALUE!</v>
      </c>
      <c r="GA4">
        <f>IF('4-20 mA'!44:44,"AAAAAF3H77Y=",0)</f>
        <v>0</v>
      </c>
      <c r="GB4" t="e">
        <f>AND('4-20 mA'!A44,"AAAAAF3H77c=")</f>
        <v>#VALUE!</v>
      </c>
      <c r="GC4" t="e">
        <f>AND('4-20 mA'!B44,"AAAAAF3H77g=")</f>
        <v>#VALUE!</v>
      </c>
      <c r="GD4" t="e">
        <f>AND('4-20 mA'!C44,"AAAAAF3H77k=")</f>
        <v>#VALUE!</v>
      </c>
      <c r="GE4" t="e">
        <f>AND('4-20 mA'!D44,"AAAAAF3H77o=")</f>
        <v>#VALUE!</v>
      </c>
      <c r="GF4" t="e">
        <f>AND('4-20 mA'!E44,"AAAAAF3H77s=")</f>
        <v>#VALUE!</v>
      </c>
      <c r="GG4" t="e">
        <f>AND('4-20 mA'!G44,"AAAAAF3H77w=")</f>
        <v>#VALUE!</v>
      </c>
      <c r="GH4" t="e">
        <f>AND('4-20 mA'!F44,"AAAAAF3H770=")</f>
        <v>#VALUE!</v>
      </c>
      <c r="GI4" t="e">
        <f>AND('4-20 mA'!H44,"AAAAAF3H774=")</f>
        <v>#VALUE!</v>
      </c>
      <c r="GJ4" t="e">
        <f>AND('4-20 mA'!#REF!,"AAAAAF3H778=")</f>
        <v>#REF!</v>
      </c>
      <c r="GK4" t="e">
        <f>AND('4-20 mA'!#REF!,"AAAAAF3H78A=")</f>
        <v>#REF!</v>
      </c>
      <c r="GL4" t="e">
        <f>AND('4-20 mA'!I44,"AAAAAF3H78E=")</f>
        <v>#VALUE!</v>
      </c>
      <c r="GM4" t="e">
        <f>AND('4-20 mA'!J44,"AAAAAF3H78I=")</f>
        <v>#VALUE!</v>
      </c>
      <c r="GN4">
        <f>IF('4-20 mA'!45:45,"AAAAAF3H78M=",0)</f>
        <v>0</v>
      </c>
      <c r="GO4" t="e">
        <f>AND('4-20 mA'!A45,"AAAAAF3H78Q=")</f>
        <v>#VALUE!</v>
      </c>
      <c r="GP4" t="e">
        <f>AND('4-20 mA'!B45,"AAAAAF3H78U=")</f>
        <v>#VALUE!</v>
      </c>
      <c r="GQ4" t="e">
        <f>AND('4-20 mA'!C45,"AAAAAF3H78Y=")</f>
        <v>#VALUE!</v>
      </c>
      <c r="GR4" t="e">
        <f>AND('4-20 mA'!D45,"AAAAAF3H78c=")</f>
        <v>#VALUE!</v>
      </c>
      <c r="GS4" t="e">
        <f>AND('4-20 mA'!E45,"AAAAAF3H78g=")</f>
        <v>#VALUE!</v>
      </c>
      <c r="GT4" t="e">
        <f>AND('4-20 mA'!G45,"AAAAAF3H78k=")</f>
        <v>#VALUE!</v>
      </c>
      <c r="GU4" t="e">
        <f>AND('4-20 mA'!F45,"AAAAAF3H78o=")</f>
        <v>#VALUE!</v>
      </c>
      <c r="GV4" t="e">
        <f>AND('4-20 mA'!H45,"AAAAAF3H78s=")</f>
        <v>#VALUE!</v>
      </c>
      <c r="GW4" t="e">
        <f>AND('4-20 mA'!#REF!,"AAAAAF3H78w=")</f>
        <v>#REF!</v>
      </c>
      <c r="GX4" t="e">
        <f>AND('4-20 mA'!#REF!,"AAAAAF3H780=")</f>
        <v>#REF!</v>
      </c>
      <c r="GY4" t="e">
        <f>AND('4-20 mA'!I45,"AAAAAF3H784=")</f>
        <v>#VALUE!</v>
      </c>
      <c r="GZ4" t="e">
        <f>AND('4-20 mA'!J45,"AAAAAF3H788=")</f>
        <v>#VALUE!</v>
      </c>
      <c r="HA4">
        <f>IF('4-20 mA'!46:46,"AAAAAF3H79A=",0)</f>
        <v>0</v>
      </c>
      <c r="HB4" t="e">
        <f>AND('4-20 mA'!A46,"AAAAAF3H79E=")</f>
        <v>#VALUE!</v>
      </c>
      <c r="HC4" t="e">
        <f>AND('4-20 mA'!B46,"AAAAAF3H79I=")</f>
        <v>#VALUE!</v>
      </c>
      <c r="HD4" t="e">
        <f>AND('4-20 mA'!C46,"AAAAAF3H79M=")</f>
        <v>#VALUE!</v>
      </c>
      <c r="HE4" t="e">
        <f>AND('4-20 mA'!D46,"AAAAAF3H79Q=")</f>
        <v>#VALUE!</v>
      </c>
      <c r="HF4" t="e">
        <f>AND('4-20 mA'!E46,"AAAAAF3H79U=")</f>
        <v>#VALUE!</v>
      </c>
      <c r="HG4" t="e">
        <f>AND('4-20 mA'!G46,"AAAAAF3H79Y=")</f>
        <v>#VALUE!</v>
      </c>
      <c r="HH4" t="e">
        <f>AND('4-20 mA'!F46,"AAAAAF3H79c=")</f>
        <v>#VALUE!</v>
      </c>
      <c r="HI4" t="e">
        <f>AND('4-20 mA'!H46,"AAAAAF3H79g=")</f>
        <v>#VALUE!</v>
      </c>
      <c r="HJ4" t="e">
        <f>AND('4-20 mA'!#REF!,"AAAAAF3H79k=")</f>
        <v>#REF!</v>
      </c>
      <c r="HK4" t="e">
        <f>AND('4-20 mA'!#REF!,"AAAAAF3H79o=")</f>
        <v>#REF!</v>
      </c>
      <c r="HL4" t="e">
        <f>AND('4-20 mA'!I46,"AAAAAF3H79s=")</f>
        <v>#VALUE!</v>
      </c>
      <c r="HM4" t="e">
        <f>AND('4-20 mA'!J46,"AAAAAF3H79w=")</f>
        <v>#VALUE!</v>
      </c>
      <c r="HN4">
        <f>IF('4-20 mA'!47:47,"AAAAAF3H790=",0)</f>
        <v>0</v>
      </c>
      <c r="HO4" t="e">
        <f>AND('4-20 mA'!A47,"AAAAAF3H794=")</f>
        <v>#VALUE!</v>
      </c>
      <c r="HP4" t="e">
        <f>AND('4-20 mA'!B47,"AAAAAF3H798=")</f>
        <v>#VALUE!</v>
      </c>
      <c r="HQ4" t="e">
        <f>AND('4-20 mA'!C47,"AAAAAF3H7+A=")</f>
        <v>#VALUE!</v>
      </c>
      <c r="HR4" t="e">
        <f>AND('4-20 mA'!D47,"AAAAAF3H7+E=")</f>
        <v>#VALUE!</v>
      </c>
      <c r="HS4" t="e">
        <f>AND('4-20 mA'!E47,"AAAAAF3H7+I=")</f>
        <v>#VALUE!</v>
      </c>
      <c r="HT4" t="e">
        <f>AND('4-20 mA'!G47,"AAAAAF3H7+M=")</f>
        <v>#VALUE!</v>
      </c>
      <c r="HU4" t="e">
        <f>AND('4-20 mA'!F47,"AAAAAF3H7+Q=")</f>
        <v>#VALUE!</v>
      </c>
      <c r="HV4" t="e">
        <f>AND('4-20 mA'!H47,"AAAAAF3H7+U=")</f>
        <v>#VALUE!</v>
      </c>
      <c r="HW4" t="e">
        <f>AND('4-20 mA'!#REF!,"AAAAAF3H7+Y=")</f>
        <v>#REF!</v>
      </c>
      <c r="HX4" t="e">
        <f>AND('4-20 mA'!#REF!,"AAAAAF3H7+c=")</f>
        <v>#REF!</v>
      </c>
      <c r="HY4" t="e">
        <f>AND('4-20 mA'!I47,"AAAAAF3H7+g=")</f>
        <v>#VALUE!</v>
      </c>
      <c r="HZ4" t="e">
        <f>AND('4-20 mA'!J47,"AAAAAF3H7+k=")</f>
        <v>#VALUE!</v>
      </c>
      <c r="IA4">
        <f>IF('4-20 mA'!48:48,"AAAAAF3H7+o=",0)</f>
        <v>0</v>
      </c>
      <c r="IB4" t="e">
        <f>AND('4-20 mA'!A48,"AAAAAF3H7+s=")</f>
        <v>#VALUE!</v>
      </c>
      <c r="IC4" t="e">
        <f>AND('4-20 mA'!B48,"AAAAAF3H7+w=")</f>
        <v>#VALUE!</v>
      </c>
      <c r="ID4" t="e">
        <f>AND('4-20 mA'!C48,"AAAAAF3H7+0=")</f>
        <v>#VALUE!</v>
      </c>
      <c r="IE4" t="e">
        <f>AND('4-20 mA'!D48,"AAAAAF3H7+4=")</f>
        <v>#VALUE!</v>
      </c>
      <c r="IF4" t="e">
        <f>AND('4-20 mA'!E48,"AAAAAF3H7+8=")</f>
        <v>#VALUE!</v>
      </c>
      <c r="IG4" t="e">
        <f>AND('4-20 mA'!G48,"AAAAAF3H7/A=")</f>
        <v>#VALUE!</v>
      </c>
      <c r="IH4" t="e">
        <f>AND('4-20 mA'!F48,"AAAAAF3H7/E=")</f>
        <v>#VALUE!</v>
      </c>
      <c r="II4" t="e">
        <f>AND('4-20 mA'!H48,"AAAAAF3H7/I=")</f>
        <v>#VALUE!</v>
      </c>
      <c r="IJ4" t="e">
        <f>AND('4-20 mA'!#REF!,"AAAAAF3H7/M=")</f>
        <v>#REF!</v>
      </c>
      <c r="IK4" t="e">
        <f>AND('4-20 mA'!#REF!,"AAAAAF3H7/Q=")</f>
        <v>#REF!</v>
      </c>
      <c r="IL4" t="e">
        <f>AND('4-20 mA'!I48,"AAAAAF3H7/U=")</f>
        <v>#VALUE!</v>
      </c>
      <c r="IM4" t="e">
        <f>AND('4-20 mA'!J48,"AAAAAF3H7/Y=")</f>
        <v>#VALUE!</v>
      </c>
      <c r="IN4">
        <f>IF('4-20 mA'!49:49,"AAAAAF3H7/c=",0)</f>
        <v>0</v>
      </c>
      <c r="IO4" t="e">
        <f>AND('4-20 mA'!A49,"AAAAAF3H7/g=")</f>
        <v>#VALUE!</v>
      </c>
      <c r="IP4" t="e">
        <f>AND('4-20 mA'!B49,"AAAAAF3H7/k=")</f>
        <v>#VALUE!</v>
      </c>
      <c r="IQ4" t="e">
        <f>AND('4-20 mA'!C49,"AAAAAF3H7/o=")</f>
        <v>#VALUE!</v>
      </c>
      <c r="IR4" t="e">
        <f>AND('4-20 mA'!D49,"AAAAAF3H7/s=")</f>
        <v>#VALUE!</v>
      </c>
      <c r="IS4" t="e">
        <f>AND('4-20 mA'!E49,"AAAAAF3H7/w=")</f>
        <v>#VALUE!</v>
      </c>
      <c r="IT4" t="e">
        <f>AND('4-20 mA'!G49,"AAAAAF3H7/0=")</f>
        <v>#VALUE!</v>
      </c>
      <c r="IU4" t="e">
        <f>AND('4-20 mA'!F49,"AAAAAF3H7/4=")</f>
        <v>#VALUE!</v>
      </c>
      <c r="IV4" t="e">
        <f>AND('4-20 mA'!H49,"AAAAAF3H7/8=")</f>
        <v>#VALUE!</v>
      </c>
    </row>
    <row r="5" spans="1:256">
      <c r="A5" t="e">
        <f>AND('4-20 mA'!#REF!,"AAAAAHf//QA=")</f>
        <v>#REF!</v>
      </c>
      <c r="B5" t="e">
        <f>AND('4-20 mA'!#REF!,"AAAAAHf//QE=")</f>
        <v>#REF!</v>
      </c>
      <c r="C5" t="e">
        <f>AND('4-20 mA'!I49,"AAAAAHf//QI=")</f>
        <v>#VALUE!</v>
      </c>
      <c r="D5" t="e">
        <f>AND('4-20 mA'!J49,"AAAAAHf//QM=")</f>
        <v>#VALUE!</v>
      </c>
      <c r="E5">
        <f>IF('4-20 mA'!50:50,"AAAAAHf//QQ=",0)</f>
        <v>0</v>
      </c>
      <c r="F5" t="e">
        <f>AND('4-20 mA'!A50,"AAAAAHf//QU=")</f>
        <v>#VALUE!</v>
      </c>
      <c r="G5" t="e">
        <f>AND('4-20 mA'!B50,"AAAAAHf//QY=")</f>
        <v>#VALUE!</v>
      </c>
      <c r="H5" t="e">
        <f>AND('4-20 mA'!C50,"AAAAAHf//Qc=")</f>
        <v>#VALUE!</v>
      </c>
      <c r="I5" t="e">
        <f>AND('4-20 mA'!D50,"AAAAAHf//Qg=")</f>
        <v>#VALUE!</v>
      </c>
      <c r="J5" t="e">
        <f>AND('4-20 mA'!E50,"AAAAAHf//Qk=")</f>
        <v>#VALUE!</v>
      </c>
      <c r="K5" t="e">
        <f>AND('4-20 mA'!G50,"AAAAAHf//Qo=")</f>
        <v>#VALUE!</v>
      </c>
      <c r="L5" t="e">
        <f>AND('4-20 mA'!F50,"AAAAAHf//Qs=")</f>
        <v>#VALUE!</v>
      </c>
      <c r="M5" t="e">
        <f>AND('4-20 mA'!H50,"AAAAAHf//Qw=")</f>
        <v>#VALUE!</v>
      </c>
      <c r="N5" t="e">
        <f>AND('4-20 mA'!#REF!,"AAAAAHf//Q0=")</f>
        <v>#REF!</v>
      </c>
      <c r="O5" t="e">
        <f>AND('4-20 mA'!#REF!,"AAAAAHf//Q4=")</f>
        <v>#REF!</v>
      </c>
      <c r="P5" t="e">
        <f>AND('4-20 mA'!I50,"AAAAAHf//Q8=")</f>
        <v>#VALUE!</v>
      </c>
      <c r="Q5" t="e">
        <f>AND('4-20 mA'!J50,"AAAAAHf//RA=")</f>
        <v>#VALUE!</v>
      </c>
      <c r="R5">
        <f>IF('4-20 mA'!51:51,"AAAAAHf//RE=",0)</f>
        <v>0</v>
      </c>
      <c r="S5" t="e">
        <f>AND('4-20 mA'!A51,"AAAAAHf//RI=")</f>
        <v>#VALUE!</v>
      </c>
      <c r="T5" t="e">
        <f>AND('4-20 mA'!B51,"AAAAAHf//RM=")</f>
        <v>#VALUE!</v>
      </c>
      <c r="U5" t="e">
        <f>AND('4-20 mA'!C51,"AAAAAHf//RQ=")</f>
        <v>#VALUE!</v>
      </c>
      <c r="V5" t="e">
        <f>AND('4-20 mA'!D51,"AAAAAHf//RU=")</f>
        <v>#VALUE!</v>
      </c>
      <c r="W5" t="e">
        <f>AND('4-20 mA'!E51,"AAAAAHf//RY=")</f>
        <v>#VALUE!</v>
      </c>
      <c r="X5" t="e">
        <f>AND('4-20 mA'!G51,"AAAAAHf//Rc=")</f>
        <v>#VALUE!</v>
      </c>
      <c r="Y5" t="e">
        <f>AND('4-20 mA'!F51,"AAAAAHf//Rg=")</f>
        <v>#VALUE!</v>
      </c>
      <c r="Z5" t="e">
        <f>AND('4-20 mA'!H51,"AAAAAHf//Rk=")</f>
        <v>#VALUE!</v>
      </c>
      <c r="AA5" t="e">
        <f>AND('4-20 mA'!#REF!,"AAAAAHf//Ro=")</f>
        <v>#REF!</v>
      </c>
      <c r="AB5" t="e">
        <f>AND('4-20 mA'!#REF!,"AAAAAHf//Rs=")</f>
        <v>#REF!</v>
      </c>
      <c r="AC5" t="e">
        <f>AND('4-20 mA'!I51,"AAAAAHf//Rw=")</f>
        <v>#VALUE!</v>
      </c>
      <c r="AD5" t="e">
        <f>AND('4-20 mA'!J51,"AAAAAHf//R0=")</f>
        <v>#VALUE!</v>
      </c>
      <c r="AE5">
        <f>IF('4-20 mA'!52:52,"AAAAAHf//R4=",0)</f>
        <v>0</v>
      </c>
      <c r="AF5" t="e">
        <f>AND('4-20 mA'!A52,"AAAAAHf//R8=")</f>
        <v>#VALUE!</v>
      </c>
      <c r="AG5" t="e">
        <f>AND('4-20 mA'!B52,"AAAAAHf//SA=")</f>
        <v>#VALUE!</v>
      </c>
      <c r="AH5" t="e">
        <f>AND('4-20 mA'!C52,"AAAAAHf//SE=")</f>
        <v>#VALUE!</v>
      </c>
      <c r="AI5" t="e">
        <f>AND('4-20 mA'!D52,"AAAAAHf//SI=")</f>
        <v>#VALUE!</v>
      </c>
      <c r="AJ5" t="e">
        <f>AND('4-20 mA'!E52,"AAAAAHf//SM=")</f>
        <v>#VALUE!</v>
      </c>
      <c r="AK5" t="e">
        <f>AND('4-20 mA'!G52,"AAAAAHf//SQ=")</f>
        <v>#VALUE!</v>
      </c>
      <c r="AL5" t="e">
        <f>AND('4-20 mA'!F52,"AAAAAHf//SU=")</f>
        <v>#VALUE!</v>
      </c>
      <c r="AM5" t="e">
        <f>AND('4-20 mA'!H52,"AAAAAHf//SY=")</f>
        <v>#VALUE!</v>
      </c>
      <c r="AN5" t="e">
        <f>AND('4-20 mA'!#REF!,"AAAAAHf//Sc=")</f>
        <v>#REF!</v>
      </c>
      <c r="AO5" t="e">
        <f>AND('4-20 mA'!#REF!,"AAAAAHf//Sg=")</f>
        <v>#REF!</v>
      </c>
      <c r="AP5" t="e">
        <f>AND('4-20 mA'!I52,"AAAAAHf//Sk=")</f>
        <v>#VALUE!</v>
      </c>
      <c r="AQ5" t="e">
        <f>AND('4-20 mA'!J52,"AAAAAHf//So=")</f>
        <v>#VALUE!</v>
      </c>
      <c r="AR5">
        <f>IF('4-20 mA'!53:53,"AAAAAHf//Ss=",0)</f>
        <v>0</v>
      </c>
      <c r="AS5" t="e">
        <f>AND('4-20 mA'!A53,"AAAAAHf//Sw=")</f>
        <v>#VALUE!</v>
      </c>
      <c r="AT5" t="e">
        <f>AND('4-20 mA'!B53,"AAAAAHf//S0=")</f>
        <v>#VALUE!</v>
      </c>
      <c r="AU5" t="e">
        <f>AND('4-20 mA'!C53,"AAAAAHf//S4=")</f>
        <v>#VALUE!</v>
      </c>
      <c r="AV5" t="e">
        <f>AND('4-20 mA'!D53,"AAAAAHf//S8=")</f>
        <v>#VALUE!</v>
      </c>
      <c r="AW5" t="e">
        <f>AND('4-20 mA'!E53,"AAAAAHf//TA=")</f>
        <v>#VALUE!</v>
      </c>
      <c r="AX5" t="e">
        <f>AND('4-20 mA'!G53,"AAAAAHf//TE=")</f>
        <v>#VALUE!</v>
      </c>
      <c r="AY5" t="e">
        <f>AND('4-20 mA'!F53,"AAAAAHf//TI=")</f>
        <v>#VALUE!</v>
      </c>
      <c r="AZ5" t="e">
        <f>AND('4-20 mA'!H53,"AAAAAHf//TM=")</f>
        <v>#VALUE!</v>
      </c>
      <c r="BA5" t="e">
        <f>AND('4-20 mA'!#REF!,"AAAAAHf//TQ=")</f>
        <v>#REF!</v>
      </c>
      <c r="BB5" t="e">
        <f>AND('4-20 mA'!#REF!,"AAAAAHf//TU=")</f>
        <v>#REF!</v>
      </c>
      <c r="BC5" t="e">
        <f>AND('4-20 mA'!I53,"AAAAAHf//TY=")</f>
        <v>#VALUE!</v>
      </c>
      <c r="BD5" t="e">
        <f>AND('4-20 mA'!J53,"AAAAAHf//Tc=")</f>
        <v>#VALUE!</v>
      </c>
      <c r="BE5">
        <f>IF('4-20 mA'!54:54,"AAAAAHf//Tg=",0)</f>
        <v>0</v>
      </c>
      <c r="BF5" t="e">
        <f>AND('4-20 mA'!A54,"AAAAAHf//Tk=")</f>
        <v>#VALUE!</v>
      </c>
      <c r="BG5" t="e">
        <f>AND('4-20 mA'!B54,"AAAAAHf//To=")</f>
        <v>#VALUE!</v>
      </c>
      <c r="BH5" t="e">
        <f>AND('4-20 mA'!C54,"AAAAAHf//Ts=")</f>
        <v>#VALUE!</v>
      </c>
      <c r="BI5" t="e">
        <f>AND('4-20 mA'!D54,"AAAAAHf//Tw=")</f>
        <v>#VALUE!</v>
      </c>
      <c r="BJ5" t="e">
        <f>AND('4-20 mA'!E54,"AAAAAHf//T0=")</f>
        <v>#VALUE!</v>
      </c>
      <c r="BK5" t="e">
        <f>AND('4-20 mA'!G54,"AAAAAHf//T4=")</f>
        <v>#VALUE!</v>
      </c>
      <c r="BL5" t="e">
        <f>AND('4-20 mA'!F54,"AAAAAHf//T8=")</f>
        <v>#VALUE!</v>
      </c>
      <c r="BM5" t="e">
        <f>AND('4-20 mA'!H54,"AAAAAHf//UA=")</f>
        <v>#VALUE!</v>
      </c>
      <c r="BN5" t="e">
        <f>AND('4-20 mA'!#REF!,"AAAAAHf//UE=")</f>
        <v>#REF!</v>
      </c>
      <c r="BO5" t="e">
        <f>AND('4-20 mA'!#REF!,"AAAAAHf//UI=")</f>
        <v>#REF!</v>
      </c>
      <c r="BP5" t="e">
        <f>AND('4-20 mA'!I54,"AAAAAHf//UM=")</f>
        <v>#VALUE!</v>
      </c>
      <c r="BQ5" t="e">
        <f>AND('4-20 mA'!J54,"AAAAAHf//UQ=")</f>
        <v>#VALUE!</v>
      </c>
      <c r="BR5">
        <f>IF('4-20 mA'!55:55,"AAAAAHf//UU=",0)</f>
        <v>0</v>
      </c>
      <c r="BS5" t="e">
        <f>AND('4-20 mA'!A55,"AAAAAHf//UY=")</f>
        <v>#VALUE!</v>
      </c>
      <c r="BT5" t="e">
        <f>AND('4-20 mA'!B55,"AAAAAHf//Uc=")</f>
        <v>#VALUE!</v>
      </c>
      <c r="BU5" t="e">
        <f>AND('4-20 mA'!C55,"AAAAAHf//Ug=")</f>
        <v>#VALUE!</v>
      </c>
      <c r="BV5" t="e">
        <f>AND('4-20 mA'!D55,"AAAAAHf//Uk=")</f>
        <v>#VALUE!</v>
      </c>
      <c r="BW5" t="e">
        <f>AND('4-20 mA'!E55,"AAAAAHf//Uo=")</f>
        <v>#VALUE!</v>
      </c>
      <c r="BX5" t="e">
        <f>AND('4-20 mA'!G55,"AAAAAHf//Us=")</f>
        <v>#VALUE!</v>
      </c>
      <c r="BY5" t="e">
        <f>AND('4-20 mA'!F55,"AAAAAHf//Uw=")</f>
        <v>#VALUE!</v>
      </c>
      <c r="BZ5" t="e">
        <f>AND('4-20 mA'!H55,"AAAAAHf//U0=")</f>
        <v>#VALUE!</v>
      </c>
      <c r="CA5" t="e">
        <f>AND('4-20 mA'!#REF!,"AAAAAHf//U4=")</f>
        <v>#REF!</v>
      </c>
      <c r="CB5" t="e">
        <f>AND('4-20 mA'!#REF!,"AAAAAHf//U8=")</f>
        <v>#REF!</v>
      </c>
      <c r="CC5" t="e">
        <f>AND('4-20 mA'!I55,"AAAAAHf//VA=")</f>
        <v>#VALUE!</v>
      </c>
      <c r="CD5" t="e">
        <f>AND('4-20 mA'!J55,"AAAAAHf//VE=")</f>
        <v>#VALUE!</v>
      </c>
      <c r="CE5">
        <f>IF('4-20 mA'!56:56,"AAAAAHf//VI=",0)</f>
        <v>0</v>
      </c>
      <c r="CF5" t="e">
        <f>AND('4-20 mA'!A56,"AAAAAHf//VM=")</f>
        <v>#VALUE!</v>
      </c>
      <c r="CG5" t="e">
        <f>AND('4-20 mA'!B56,"AAAAAHf//VQ=")</f>
        <v>#VALUE!</v>
      </c>
      <c r="CH5" t="e">
        <f>AND('4-20 mA'!C56,"AAAAAHf//VU=")</f>
        <v>#VALUE!</v>
      </c>
      <c r="CI5" t="e">
        <f>AND('4-20 mA'!D56,"AAAAAHf//VY=")</f>
        <v>#VALUE!</v>
      </c>
      <c r="CJ5" t="e">
        <f>AND('4-20 mA'!E56,"AAAAAHf//Vc=")</f>
        <v>#VALUE!</v>
      </c>
      <c r="CK5" t="e">
        <f>AND('4-20 mA'!G56,"AAAAAHf//Vg=")</f>
        <v>#VALUE!</v>
      </c>
      <c r="CL5" t="e">
        <f>AND('4-20 mA'!F56,"AAAAAHf//Vk=")</f>
        <v>#VALUE!</v>
      </c>
      <c r="CM5" t="e">
        <f>AND('4-20 mA'!H56,"AAAAAHf//Vo=")</f>
        <v>#VALUE!</v>
      </c>
      <c r="CN5" t="e">
        <f>AND('4-20 mA'!#REF!,"AAAAAHf//Vs=")</f>
        <v>#REF!</v>
      </c>
      <c r="CO5" t="e">
        <f>AND('4-20 mA'!#REF!,"AAAAAHf//Vw=")</f>
        <v>#REF!</v>
      </c>
      <c r="CP5" t="e">
        <f>AND('4-20 mA'!I56,"AAAAAHf//V0=")</f>
        <v>#VALUE!</v>
      </c>
      <c r="CQ5" t="e">
        <f>AND('4-20 mA'!J56,"AAAAAHf//V4=")</f>
        <v>#VALUE!</v>
      </c>
      <c r="CR5">
        <f>IF('4-20 mA'!57:57,"AAAAAHf//V8=",0)</f>
        <v>0</v>
      </c>
      <c r="CS5" t="e">
        <f>AND('4-20 mA'!A57,"AAAAAHf//WA=")</f>
        <v>#VALUE!</v>
      </c>
      <c r="CT5" t="e">
        <f>AND('4-20 mA'!B57,"AAAAAHf//WE=")</f>
        <v>#VALUE!</v>
      </c>
      <c r="CU5" t="e">
        <f>AND('4-20 mA'!C57,"AAAAAHf//WI=")</f>
        <v>#VALUE!</v>
      </c>
      <c r="CV5" t="e">
        <f>AND('4-20 mA'!D57,"AAAAAHf//WM=")</f>
        <v>#VALUE!</v>
      </c>
      <c r="CW5" t="e">
        <f>AND('4-20 mA'!E57,"AAAAAHf//WQ=")</f>
        <v>#VALUE!</v>
      </c>
      <c r="CX5" t="e">
        <f>AND('4-20 mA'!G57,"AAAAAHf//WU=")</f>
        <v>#VALUE!</v>
      </c>
      <c r="CY5" t="e">
        <f>AND('4-20 mA'!F57,"AAAAAHf//WY=")</f>
        <v>#VALUE!</v>
      </c>
      <c r="CZ5" t="e">
        <f>AND('4-20 mA'!H57,"AAAAAHf//Wc=")</f>
        <v>#VALUE!</v>
      </c>
      <c r="DA5" t="e">
        <f>AND('4-20 mA'!#REF!,"AAAAAHf//Wg=")</f>
        <v>#REF!</v>
      </c>
      <c r="DB5" t="e">
        <f>AND('4-20 mA'!#REF!,"AAAAAHf//Wk=")</f>
        <v>#REF!</v>
      </c>
      <c r="DC5" t="e">
        <f>AND('4-20 mA'!I57,"AAAAAHf//Wo=")</f>
        <v>#VALUE!</v>
      </c>
      <c r="DD5" t="e">
        <f>AND('4-20 mA'!J57,"AAAAAHf//Ws=")</f>
        <v>#VALUE!</v>
      </c>
      <c r="DE5">
        <f>IF('4-20 mA'!58:58,"AAAAAHf//Ww=",0)</f>
        <v>0</v>
      </c>
      <c r="DF5" t="e">
        <f>AND('4-20 mA'!A58,"AAAAAHf//W0=")</f>
        <v>#VALUE!</v>
      </c>
      <c r="DG5" t="e">
        <f>AND('4-20 mA'!B58,"AAAAAHf//W4=")</f>
        <v>#VALUE!</v>
      </c>
      <c r="DH5" t="e">
        <f>AND('4-20 mA'!C58,"AAAAAHf//W8=")</f>
        <v>#VALUE!</v>
      </c>
      <c r="DI5" t="e">
        <f>AND('4-20 mA'!D58,"AAAAAHf//XA=")</f>
        <v>#VALUE!</v>
      </c>
      <c r="DJ5" t="e">
        <f>AND('4-20 mA'!E58,"AAAAAHf//XE=")</f>
        <v>#VALUE!</v>
      </c>
      <c r="DK5" t="e">
        <f>AND('4-20 mA'!G58,"AAAAAHf//XI=")</f>
        <v>#VALUE!</v>
      </c>
      <c r="DL5" t="e">
        <f>AND('4-20 mA'!F58,"AAAAAHf//XM=")</f>
        <v>#VALUE!</v>
      </c>
      <c r="DM5" t="e">
        <f>AND('4-20 mA'!H58,"AAAAAHf//XQ=")</f>
        <v>#VALUE!</v>
      </c>
      <c r="DN5" t="e">
        <f>AND('4-20 mA'!#REF!,"AAAAAHf//XU=")</f>
        <v>#REF!</v>
      </c>
      <c r="DO5" t="e">
        <f>AND('4-20 mA'!#REF!,"AAAAAHf//XY=")</f>
        <v>#REF!</v>
      </c>
      <c r="DP5" t="e">
        <f>AND('4-20 mA'!I58,"AAAAAHf//Xc=")</f>
        <v>#VALUE!</v>
      </c>
      <c r="DQ5" t="e">
        <f>AND('4-20 mA'!J58,"AAAAAHf//Xg=")</f>
        <v>#VALUE!</v>
      </c>
      <c r="DR5">
        <f>IF('4-20 mA'!59:59,"AAAAAHf//Xk=",0)</f>
        <v>0</v>
      </c>
      <c r="DS5" t="e">
        <f>AND('4-20 mA'!A59,"AAAAAHf//Xo=")</f>
        <v>#VALUE!</v>
      </c>
      <c r="DT5" t="e">
        <f>AND('4-20 mA'!B59,"AAAAAHf//Xs=")</f>
        <v>#VALUE!</v>
      </c>
      <c r="DU5" t="e">
        <f>AND('4-20 mA'!C59,"AAAAAHf//Xw=")</f>
        <v>#VALUE!</v>
      </c>
      <c r="DV5" t="e">
        <f>AND('4-20 mA'!D59,"AAAAAHf//X0=")</f>
        <v>#VALUE!</v>
      </c>
      <c r="DW5" t="e">
        <f>AND('4-20 mA'!E59,"AAAAAHf//X4=")</f>
        <v>#VALUE!</v>
      </c>
      <c r="DX5" t="e">
        <f>AND('4-20 mA'!G59,"AAAAAHf//X8=")</f>
        <v>#VALUE!</v>
      </c>
      <c r="DY5" t="e">
        <f>AND('4-20 mA'!F59,"AAAAAHf//YA=")</f>
        <v>#VALUE!</v>
      </c>
      <c r="DZ5" t="e">
        <f>AND('4-20 mA'!H59,"AAAAAHf//YE=")</f>
        <v>#VALUE!</v>
      </c>
      <c r="EA5" t="e">
        <f>AND('4-20 mA'!#REF!,"AAAAAHf//YI=")</f>
        <v>#REF!</v>
      </c>
      <c r="EB5" t="e">
        <f>AND('4-20 mA'!#REF!,"AAAAAHf//YM=")</f>
        <v>#REF!</v>
      </c>
      <c r="EC5" t="e">
        <f>AND('4-20 mA'!I59,"AAAAAHf//YQ=")</f>
        <v>#VALUE!</v>
      </c>
      <c r="ED5" t="e">
        <f>AND('4-20 mA'!J59,"AAAAAHf//YU=")</f>
        <v>#VALUE!</v>
      </c>
      <c r="EE5">
        <f>IF('4-20 mA'!60:60,"AAAAAHf//YY=",0)</f>
        <v>0</v>
      </c>
      <c r="EF5" t="e">
        <f>AND('4-20 mA'!A60,"AAAAAHf//Yc=")</f>
        <v>#VALUE!</v>
      </c>
      <c r="EG5" t="e">
        <f>AND('4-20 mA'!B60,"AAAAAHf//Yg=")</f>
        <v>#VALUE!</v>
      </c>
      <c r="EH5" t="e">
        <f>AND('4-20 mA'!C60,"AAAAAHf//Yk=")</f>
        <v>#VALUE!</v>
      </c>
      <c r="EI5" t="e">
        <f>AND('4-20 mA'!D60,"AAAAAHf//Yo=")</f>
        <v>#VALUE!</v>
      </c>
      <c r="EJ5" t="e">
        <f>AND('4-20 mA'!E60,"AAAAAHf//Ys=")</f>
        <v>#VALUE!</v>
      </c>
      <c r="EK5" t="e">
        <f>AND('4-20 mA'!G60,"AAAAAHf//Yw=")</f>
        <v>#VALUE!</v>
      </c>
      <c r="EL5" t="e">
        <f>AND('4-20 mA'!F60,"AAAAAHf//Y0=")</f>
        <v>#VALUE!</v>
      </c>
      <c r="EM5" t="e">
        <f>AND('4-20 mA'!H60,"AAAAAHf//Y4=")</f>
        <v>#VALUE!</v>
      </c>
      <c r="EN5" t="e">
        <f>AND('4-20 mA'!#REF!,"AAAAAHf//Y8=")</f>
        <v>#REF!</v>
      </c>
      <c r="EO5" t="e">
        <f>AND('4-20 mA'!#REF!,"AAAAAHf//ZA=")</f>
        <v>#REF!</v>
      </c>
      <c r="EP5" t="e">
        <f>AND('4-20 mA'!I60,"AAAAAHf//ZE=")</f>
        <v>#VALUE!</v>
      </c>
      <c r="EQ5" t="e">
        <f>AND('4-20 mA'!J60,"AAAAAHf//ZI=")</f>
        <v>#VALUE!</v>
      </c>
      <c r="ER5">
        <f>IF('4-20 mA'!61:61,"AAAAAHf//ZM=",0)</f>
        <v>0</v>
      </c>
      <c r="ES5" t="e">
        <f>AND('4-20 mA'!A61,"AAAAAHf//ZQ=")</f>
        <v>#VALUE!</v>
      </c>
      <c r="ET5" t="e">
        <f>AND('4-20 mA'!B61,"AAAAAHf//ZU=")</f>
        <v>#VALUE!</v>
      </c>
      <c r="EU5" t="e">
        <f>AND('4-20 mA'!C61,"AAAAAHf//ZY=")</f>
        <v>#VALUE!</v>
      </c>
      <c r="EV5" t="e">
        <f>AND('4-20 mA'!D61,"AAAAAHf//Zc=")</f>
        <v>#VALUE!</v>
      </c>
      <c r="EW5" t="e">
        <f>AND('4-20 mA'!E61,"AAAAAHf//Zg=")</f>
        <v>#VALUE!</v>
      </c>
      <c r="EX5" t="e">
        <f>AND('4-20 mA'!G61,"AAAAAHf//Zk=")</f>
        <v>#VALUE!</v>
      </c>
      <c r="EY5" t="e">
        <f>AND('4-20 mA'!F61,"AAAAAHf//Zo=")</f>
        <v>#VALUE!</v>
      </c>
      <c r="EZ5" t="e">
        <f>AND('4-20 mA'!H61,"AAAAAHf//Zs=")</f>
        <v>#VALUE!</v>
      </c>
      <c r="FA5" t="e">
        <f>AND('4-20 mA'!#REF!,"AAAAAHf//Zw=")</f>
        <v>#REF!</v>
      </c>
      <c r="FB5" t="e">
        <f>AND('4-20 mA'!#REF!,"AAAAAHf//Z0=")</f>
        <v>#REF!</v>
      </c>
      <c r="FC5" t="e">
        <f>AND('4-20 mA'!I61,"AAAAAHf//Z4=")</f>
        <v>#VALUE!</v>
      </c>
      <c r="FD5" t="e">
        <f>AND('4-20 mA'!J61,"AAAAAHf//Z8=")</f>
        <v>#VALUE!</v>
      </c>
      <c r="FE5">
        <f>IF('4-20 mA'!62:62,"AAAAAHf//aA=",0)</f>
        <v>0</v>
      </c>
      <c r="FF5" t="e">
        <f>AND('4-20 mA'!A62,"AAAAAHf//aE=")</f>
        <v>#VALUE!</v>
      </c>
      <c r="FG5" t="e">
        <f>AND('4-20 mA'!B62,"AAAAAHf//aI=")</f>
        <v>#VALUE!</v>
      </c>
      <c r="FH5" t="e">
        <f>AND('4-20 mA'!C62,"AAAAAHf//aM=")</f>
        <v>#VALUE!</v>
      </c>
      <c r="FI5" t="e">
        <f>AND('4-20 mA'!D62,"AAAAAHf//aQ=")</f>
        <v>#VALUE!</v>
      </c>
      <c r="FJ5" t="e">
        <f>AND('4-20 mA'!E62,"AAAAAHf//aU=")</f>
        <v>#VALUE!</v>
      </c>
      <c r="FK5" t="e">
        <f>AND('4-20 mA'!G62,"AAAAAHf//aY=")</f>
        <v>#VALUE!</v>
      </c>
      <c r="FL5" t="e">
        <f>AND('4-20 mA'!F62,"AAAAAHf//ac=")</f>
        <v>#VALUE!</v>
      </c>
      <c r="FM5" t="e">
        <f>AND('4-20 mA'!H62,"AAAAAHf//ag=")</f>
        <v>#VALUE!</v>
      </c>
      <c r="FN5" t="e">
        <f>AND('4-20 mA'!#REF!,"AAAAAHf//ak=")</f>
        <v>#REF!</v>
      </c>
      <c r="FO5" t="e">
        <f>AND('4-20 mA'!#REF!,"AAAAAHf//ao=")</f>
        <v>#REF!</v>
      </c>
      <c r="FP5" t="e">
        <f>AND('4-20 mA'!I62,"AAAAAHf//as=")</f>
        <v>#VALUE!</v>
      </c>
      <c r="FQ5" t="e">
        <f>AND('4-20 mA'!J62,"AAAAAHf//aw=")</f>
        <v>#VALUE!</v>
      </c>
      <c r="FR5">
        <f>IF('4-20 mA'!63:63,"AAAAAHf//a0=",0)</f>
        <v>0</v>
      </c>
      <c r="FS5" t="e">
        <f>AND('4-20 mA'!A63,"AAAAAHf//a4=")</f>
        <v>#VALUE!</v>
      </c>
      <c r="FT5" t="e">
        <f>AND('4-20 mA'!B63,"AAAAAHf//a8=")</f>
        <v>#VALUE!</v>
      </c>
      <c r="FU5" t="e">
        <f>AND('4-20 mA'!C63,"AAAAAHf//bA=")</f>
        <v>#VALUE!</v>
      </c>
      <c r="FV5" t="e">
        <f>AND('4-20 mA'!D63,"AAAAAHf//bE=")</f>
        <v>#VALUE!</v>
      </c>
      <c r="FW5" t="e">
        <f>AND('4-20 mA'!E63,"AAAAAHf//bI=")</f>
        <v>#VALUE!</v>
      </c>
      <c r="FX5" t="e">
        <f>AND('4-20 mA'!G63,"AAAAAHf//bM=")</f>
        <v>#VALUE!</v>
      </c>
      <c r="FY5" t="e">
        <f>AND('4-20 mA'!F63,"AAAAAHf//bQ=")</f>
        <v>#VALUE!</v>
      </c>
      <c r="FZ5" t="e">
        <f>AND('4-20 mA'!H63,"AAAAAHf//bU=")</f>
        <v>#VALUE!</v>
      </c>
      <c r="GA5" t="e">
        <f>AND('4-20 mA'!#REF!,"AAAAAHf//bY=")</f>
        <v>#REF!</v>
      </c>
      <c r="GB5" t="e">
        <f>AND('4-20 mA'!#REF!,"AAAAAHf//bc=")</f>
        <v>#REF!</v>
      </c>
      <c r="GC5" t="e">
        <f>AND('4-20 mA'!I63,"AAAAAHf//bg=")</f>
        <v>#VALUE!</v>
      </c>
      <c r="GD5" t="e">
        <f>AND('4-20 mA'!J63,"AAAAAHf//bk=")</f>
        <v>#VALUE!</v>
      </c>
      <c r="GE5">
        <f>IF('4-20 mA'!64:64,"AAAAAHf//bo=",0)</f>
        <v>0</v>
      </c>
      <c r="GF5" t="e">
        <f>AND('4-20 mA'!A64,"AAAAAHf//bs=")</f>
        <v>#VALUE!</v>
      </c>
      <c r="GG5" t="e">
        <f>AND('4-20 mA'!B64,"AAAAAHf//bw=")</f>
        <v>#VALUE!</v>
      </c>
      <c r="GH5" t="e">
        <f>AND('4-20 mA'!C64,"AAAAAHf//b0=")</f>
        <v>#VALUE!</v>
      </c>
      <c r="GI5" t="e">
        <f>AND('4-20 mA'!D64,"AAAAAHf//b4=")</f>
        <v>#VALUE!</v>
      </c>
      <c r="GJ5" t="e">
        <f>AND('4-20 mA'!E64,"AAAAAHf//b8=")</f>
        <v>#VALUE!</v>
      </c>
      <c r="GK5" t="e">
        <f>AND('4-20 mA'!G64,"AAAAAHf//cA=")</f>
        <v>#VALUE!</v>
      </c>
      <c r="GL5" t="e">
        <f>AND('4-20 mA'!F64,"AAAAAHf//cE=")</f>
        <v>#VALUE!</v>
      </c>
      <c r="GM5" t="e">
        <f>AND('4-20 mA'!H64,"AAAAAHf//cI=")</f>
        <v>#VALUE!</v>
      </c>
      <c r="GN5" t="e">
        <f>AND('4-20 mA'!#REF!,"AAAAAHf//cM=")</f>
        <v>#REF!</v>
      </c>
      <c r="GO5" t="e">
        <f>AND('4-20 mA'!#REF!,"AAAAAHf//cQ=")</f>
        <v>#REF!</v>
      </c>
      <c r="GP5" t="e">
        <f>AND('4-20 mA'!I64,"AAAAAHf//cU=")</f>
        <v>#VALUE!</v>
      </c>
      <c r="GQ5" t="e">
        <f>AND('4-20 mA'!J64,"AAAAAHf//cY=")</f>
        <v>#VALUE!</v>
      </c>
      <c r="GR5">
        <f>IF('4-20 mA'!65:65,"AAAAAHf//cc=",0)</f>
        <v>0</v>
      </c>
      <c r="GS5" t="e">
        <f>AND('4-20 mA'!A65,"AAAAAHf//cg=")</f>
        <v>#VALUE!</v>
      </c>
      <c r="GT5" t="e">
        <f>AND('4-20 mA'!B65,"AAAAAHf//ck=")</f>
        <v>#VALUE!</v>
      </c>
      <c r="GU5" t="e">
        <f>AND('4-20 mA'!C65,"AAAAAHf//co=")</f>
        <v>#VALUE!</v>
      </c>
      <c r="GV5" t="e">
        <f>AND('4-20 mA'!D65,"AAAAAHf//cs=")</f>
        <v>#VALUE!</v>
      </c>
      <c r="GW5" t="e">
        <f>AND('4-20 mA'!E65,"AAAAAHf//cw=")</f>
        <v>#VALUE!</v>
      </c>
      <c r="GX5" t="e">
        <f>AND('4-20 mA'!G65,"AAAAAHf//c0=")</f>
        <v>#VALUE!</v>
      </c>
      <c r="GY5" t="e">
        <f>AND('4-20 mA'!F65,"AAAAAHf//c4=")</f>
        <v>#VALUE!</v>
      </c>
      <c r="GZ5" t="e">
        <f>AND('4-20 mA'!H65,"AAAAAHf//c8=")</f>
        <v>#VALUE!</v>
      </c>
      <c r="HA5" t="e">
        <f>AND('4-20 mA'!#REF!,"AAAAAHf//dA=")</f>
        <v>#REF!</v>
      </c>
      <c r="HB5" t="e">
        <f>AND('4-20 mA'!#REF!,"AAAAAHf//dE=")</f>
        <v>#REF!</v>
      </c>
      <c r="HC5" t="e">
        <f>AND('4-20 mA'!I65,"AAAAAHf//dI=")</f>
        <v>#VALUE!</v>
      </c>
      <c r="HD5" t="e">
        <f>AND('4-20 mA'!J65,"AAAAAHf//dM=")</f>
        <v>#VALUE!</v>
      </c>
    </row>
    <row r="6" spans="1:256">
      <c r="A6" t="e">
        <f>AND(#REF!,"AAAAAH+//QA=")</f>
        <v>#REF!</v>
      </c>
      <c r="B6" t="e">
        <f>AND(#REF!,"AAAAAH+//QE=")</f>
        <v>#REF!</v>
      </c>
      <c r="C6" t="e">
        <f>AND(#REF!,"AAAAAH+//QI=")</f>
        <v>#REF!</v>
      </c>
      <c r="D6" t="e">
        <f>AND(#REF!,"AAAAAH+//QM=")</f>
        <v>#REF!</v>
      </c>
      <c r="E6" t="e">
        <f>AND(#REF!,"AAAAAH+//QQ=")</f>
        <v>#REF!</v>
      </c>
      <c r="F6" t="e">
        <f>AND(#REF!,"AAAAAH+//QU=")</f>
        <v>#REF!</v>
      </c>
      <c r="G6" t="e">
        <f>AND(#REF!,"AAAAAH+//QY=")</f>
        <v>#REF!</v>
      </c>
      <c r="H6" t="e">
        <f>IF(#REF!,"AAAAAH+//Qc=",0)</f>
        <v>#REF!</v>
      </c>
      <c r="I6" t="e">
        <f>AND(#REF!,"AAAAAH+//Qg=")</f>
        <v>#REF!</v>
      </c>
      <c r="J6" t="e">
        <f>AND(#REF!,"AAAAAH+//Qk=")</f>
        <v>#REF!</v>
      </c>
      <c r="K6" t="e">
        <f>AND(#REF!,"AAAAAH+//Qo=")</f>
        <v>#REF!</v>
      </c>
      <c r="L6" t="e">
        <f>AND(#REF!,"AAAAAH+//Qs=")</f>
        <v>#REF!</v>
      </c>
      <c r="M6" t="e">
        <f>AND(#REF!,"AAAAAH+//Qw=")</f>
        <v>#REF!</v>
      </c>
      <c r="N6" t="e">
        <f>AND(#REF!,"AAAAAH+//Q0=")</f>
        <v>#REF!</v>
      </c>
      <c r="O6" t="e">
        <f>AND(#REF!,"AAAAAH+//Q4=")</f>
        <v>#REF!</v>
      </c>
      <c r="P6" t="e">
        <f>AND(#REF!,"AAAAAH+//Q8=")</f>
        <v>#REF!</v>
      </c>
      <c r="Q6" t="e">
        <f>IF(#REF!,"AAAAAH+//RA=",0)</f>
        <v>#REF!</v>
      </c>
      <c r="R6" t="e">
        <f>AND(#REF!,"AAAAAH+//RE=")</f>
        <v>#REF!</v>
      </c>
      <c r="S6" t="e">
        <f>AND(#REF!,"AAAAAH+//RI=")</f>
        <v>#REF!</v>
      </c>
      <c r="T6" t="e">
        <f>AND(#REF!,"AAAAAH+//RM=")</f>
        <v>#REF!</v>
      </c>
      <c r="U6" t="e">
        <f>AND(#REF!,"AAAAAH+//RQ=")</f>
        <v>#REF!</v>
      </c>
      <c r="V6" t="e">
        <f>AND(#REF!,"AAAAAH+//RU=")</f>
        <v>#REF!</v>
      </c>
      <c r="W6" t="e">
        <f>AND(#REF!,"AAAAAH+//RY=")</f>
        <v>#REF!</v>
      </c>
      <c r="X6" t="e">
        <f>AND(#REF!,"AAAAAH+//Rc=")</f>
        <v>#REF!</v>
      </c>
      <c r="Y6" t="e">
        <f>AND(#REF!,"AAAAAH+//Rg=")</f>
        <v>#REF!</v>
      </c>
      <c r="Z6" t="e">
        <f>IF(#REF!,"AAAAAH+//Rk=",0)</f>
        <v>#REF!</v>
      </c>
      <c r="AA6" t="e">
        <f>AND(#REF!,"AAAAAH+//Ro=")</f>
        <v>#REF!</v>
      </c>
      <c r="AB6" t="e">
        <f>AND(#REF!,"AAAAAH+//Rs=")</f>
        <v>#REF!</v>
      </c>
      <c r="AC6" t="e">
        <f>AND(#REF!,"AAAAAH+//Rw=")</f>
        <v>#REF!</v>
      </c>
      <c r="AD6" t="e">
        <f>AND(#REF!,"AAAAAH+//R0=")</f>
        <v>#REF!</v>
      </c>
      <c r="AE6" t="e">
        <f>AND(#REF!,"AAAAAH+//R4=")</f>
        <v>#REF!</v>
      </c>
      <c r="AF6" t="e">
        <f>AND(#REF!,"AAAAAH+//R8=")</f>
        <v>#REF!</v>
      </c>
      <c r="AG6" t="e">
        <f>AND(#REF!,"AAAAAH+//SA=")</f>
        <v>#REF!</v>
      </c>
      <c r="AH6" t="e">
        <f>AND(#REF!,"AAAAAH+//SE=")</f>
        <v>#REF!</v>
      </c>
      <c r="AI6" t="e">
        <f>IF(#REF!,"AAAAAH+//SI=",0)</f>
        <v>#REF!</v>
      </c>
      <c r="AJ6" t="e">
        <f>AND(#REF!,"AAAAAH+//SM=")</f>
        <v>#REF!</v>
      </c>
      <c r="AK6" t="e">
        <f>AND(#REF!,"AAAAAH+//SQ=")</f>
        <v>#REF!</v>
      </c>
      <c r="AL6" t="e">
        <f>AND(#REF!,"AAAAAH+//SU=")</f>
        <v>#REF!</v>
      </c>
      <c r="AM6" t="e">
        <f>AND(#REF!,"AAAAAH+//SY=")</f>
        <v>#REF!</v>
      </c>
      <c r="AN6" t="e">
        <f>AND(#REF!,"AAAAAH+//Sc=")</f>
        <v>#REF!</v>
      </c>
      <c r="AO6" t="e">
        <f>AND(#REF!,"AAAAAH+//Sg=")</f>
        <v>#REF!</v>
      </c>
      <c r="AP6" t="e">
        <f>AND(#REF!,"AAAAAH+//Sk=")</f>
        <v>#REF!</v>
      </c>
      <c r="AQ6" t="e">
        <f>AND(#REF!,"AAAAAH+//So=")</f>
        <v>#REF!</v>
      </c>
      <c r="AR6" t="e">
        <f>IF(#REF!,"AAAAAH+//Ss=",0)</f>
        <v>#REF!</v>
      </c>
      <c r="AS6" t="e">
        <f>AND(#REF!,"AAAAAH+//Sw=")</f>
        <v>#REF!</v>
      </c>
      <c r="AT6" t="e">
        <f>AND(#REF!,"AAAAAH+//S0=")</f>
        <v>#REF!</v>
      </c>
      <c r="AU6" t="e">
        <f>AND(#REF!,"AAAAAH+//S4=")</f>
        <v>#REF!</v>
      </c>
      <c r="AV6" t="e">
        <f>AND(#REF!,"AAAAAH+//S8=")</f>
        <v>#REF!</v>
      </c>
      <c r="AW6" t="e">
        <f>AND(#REF!,"AAAAAH+//TA=")</f>
        <v>#REF!</v>
      </c>
      <c r="AX6" t="e">
        <f>AND(#REF!,"AAAAAH+//TE=")</f>
        <v>#REF!</v>
      </c>
      <c r="AY6" t="e">
        <f>AND(#REF!,"AAAAAH+//TI=")</f>
        <v>#REF!</v>
      </c>
      <c r="AZ6" t="e">
        <f>AND(#REF!,"AAAAAH+//TM=")</f>
        <v>#REF!</v>
      </c>
      <c r="BA6" t="e">
        <f>IF(#REF!,"AAAAAH+//TQ=",0)</f>
        <v>#REF!</v>
      </c>
      <c r="BB6" t="e">
        <f>AND(#REF!,"AAAAAH+//TU=")</f>
        <v>#REF!</v>
      </c>
      <c r="BC6" t="e">
        <f>AND(#REF!,"AAAAAH+//TY=")</f>
        <v>#REF!</v>
      </c>
      <c r="BD6" t="e">
        <f>AND(#REF!,"AAAAAH+//Tc=")</f>
        <v>#REF!</v>
      </c>
      <c r="BE6" t="e">
        <f>AND(#REF!,"AAAAAH+//Tg=")</f>
        <v>#REF!</v>
      </c>
      <c r="BF6" t="e">
        <f>AND(#REF!,"AAAAAH+//Tk=")</f>
        <v>#REF!</v>
      </c>
      <c r="BG6" t="e">
        <f>AND(#REF!,"AAAAAH+//To=")</f>
        <v>#REF!</v>
      </c>
      <c r="BH6" t="e">
        <f>AND(#REF!,"AAAAAH+//Ts=")</f>
        <v>#REF!</v>
      </c>
      <c r="BI6" t="e">
        <f>AND(#REF!,"AAAAAH+//Tw=")</f>
        <v>#REF!</v>
      </c>
      <c r="BJ6" t="e">
        <f>IF(#REF!,"AAAAAH+//T0=",0)</f>
        <v>#REF!</v>
      </c>
      <c r="BK6" t="e">
        <f>AND(#REF!,"AAAAAH+//T4=")</f>
        <v>#REF!</v>
      </c>
      <c r="BL6" t="e">
        <f>AND(#REF!,"AAAAAH+//T8=")</f>
        <v>#REF!</v>
      </c>
      <c r="BM6" t="e">
        <f>AND(#REF!,"AAAAAH+//UA=")</f>
        <v>#REF!</v>
      </c>
      <c r="BN6" t="e">
        <f>AND(#REF!,"AAAAAH+//UE=")</f>
        <v>#REF!</v>
      </c>
      <c r="BO6" t="e">
        <f>AND(#REF!,"AAAAAH+//UI=")</f>
        <v>#REF!</v>
      </c>
      <c r="BP6" t="e">
        <f>AND(#REF!,"AAAAAH+//UM=")</f>
        <v>#REF!</v>
      </c>
      <c r="BQ6" t="e">
        <f>AND(#REF!,"AAAAAH+//UQ=")</f>
        <v>#REF!</v>
      </c>
      <c r="BR6" t="e">
        <f>AND(#REF!,"AAAAAH+//UU=")</f>
        <v>#REF!</v>
      </c>
      <c r="BS6" t="e">
        <f>IF(#REF!,"AAAAAH+//UY=",0)</f>
        <v>#REF!</v>
      </c>
      <c r="BT6" t="e">
        <f>AND(#REF!,"AAAAAH+//Uc=")</f>
        <v>#REF!</v>
      </c>
      <c r="BU6" t="e">
        <f>AND(#REF!,"AAAAAH+//Ug=")</f>
        <v>#REF!</v>
      </c>
      <c r="BV6" t="e">
        <f>AND(#REF!,"AAAAAH+//Uk=")</f>
        <v>#REF!</v>
      </c>
      <c r="BW6" t="e">
        <f>AND(#REF!,"AAAAAH+//Uo=")</f>
        <v>#REF!</v>
      </c>
      <c r="BX6" t="e">
        <f>AND(#REF!,"AAAAAH+//Us=")</f>
        <v>#REF!</v>
      </c>
      <c r="BY6" t="e">
        <f>AND(#REF!,"AAAAAH+//Uw=")</f>
        <v>#REF!</v>
      </c>
      <c r="BZ6" t="e">
        <f>AND(#REF!,"AAAAAH+//U0=")</f>
        <v>#REF!</v>
      </c>
      <c r="CA6" t="e">
        <f>AND(#REF!,"AAAAAH+//U4=")</f>
        <v>#REF!</v>
      </c>
      <c r="CB6" t="e">
        <f>IF(#REF!,"AAAAAH+//U8=",0)</f>
        <v>#REF!</v>
      </c>
      <c r="CC6" t="e">
        <f>AND(#REF!,"AAAAAH+//VA=")</f>
        <v>#REF!</v>
      </c>
      <c r="CD6" t="e">
        <f>AND(#REF!,"AAAAAH+//VE=")</f>
        <v>#REF!</v>
      </c>
      <c r="CE6" t="e">
        <f>AND(#REF!,"AAAAAH+//VI=")</f>
        <v>#REF!</v>
      </c>
      <c r="CF6" t="e">
        <f>AND(#REF!,"AAAAAH+//VM=")</f>
        <v>#REF!</v>
      </c>
      <c r="CG6" t="e">
        <f>AND(#REF!,"AAAAAH+//VQ=")</f>
        <v>#REF!</v>
      </c>
      <c r="CH6" t="e">
        <f>AND(#REF!,"AAAAAH+//VU=")</f>
        <v>#REF!</v>
      </c>
      <c r="CI6" t="e">
        <f>AND(#REF!,"AAAAAH+//VY=")</f>
        <v>#REF!</v>
      </c>
      <c r="CJ6" t="e">
        <f>AND(#REF!,"AAAAAH+//Vc=")</f>
        <v>#REF!</v>
      </c>
      <c r="CK6" t="e">
        <f>IF(#REF!,"AAAAAH+//Vg=",0)</f>
        <v>#REF!</v>
      </c>
      <c r="CL6" t="e">
        <f>AND(#REF!,"AAAAAH+//Vk=")</f>
        <v>#REF!</v>
      </c>
      <c r="CM6" t="e">
        <f>AND(#REF!,"AAAAAH+//Vo=")</f>
        <v>#REF!</v>
      </c>
      <c r="CN6" t="e">
        <f>AND(#REF!,"AAAAAH+//Vs=")</f>
        <v>#REF!</v>
      </c>
      <c r="CO6" t="e">
        <f>AND(#REF!,"AAAAAH+//Vw=")</f>
        <v>#REF!</v>
      </c>
      <c r="CP6" t="e">
        <f>AND(#REF!,"AAAAAH+//V0=")</f>
        <v>#REF!</v>
      </c>
      <c r="CQ6" t="e">
        <f>AND(#REF!,"AAAAAH+//V4=")</f>
        <v>#REF!</v>
      </c>
      <c r="CR6" t="e">
        <f>AND(#REF!,"AAAAAH+//V8=")</f>
        <v>#REF!</v>
      </c>
      <c r="CS6" t="e">
        <f>AND(#REF!,"AAAAAH+//WA=")</f>
        <v>#REF!</v>
      </c>
      <c r="CT6" t="e">
        <f>IF(#REF!,"AAAAAH+//WE=",0)</f>
        <v>#REF!</v>
      </c>
      <c r="CU6" t="e">
        <f>AND(#REF!,"AAAAAH+//WI=")</f>
        <v>#REF!</v>
      </c>
      <c r="CV6" t="e">
        <f>AND(#REF!,"AAAAAH+//WM=")</f>
        <v>#REF!</v>
      </c>
      <c r="CW6" t="e">
        <f>AND(#REF!,"AAAAAH+//WQ=")</f>
        <v>#REF!</v>
      </c>
      <c r="CX6" t="e">
        <f>AND(#REF!,"AAAAAH+//WU=")</f>
        <v>#REF!</v>
      </c>
      <c r="CY6" t="e">
        <f>AND(#REF!,"AAAAAH+//WY=")</f>
        <v>#REF!</v>
      </c>
      <c r="CZ6" t="e">
        <f>AND(#REF!,"AAAAAH+//Wc=")</f>
        <v>#REF!</v>
      </c>
      <c r="DA6" t="e">
        <f>AND(#REF!,"AAAAAH+//Wg=")</f>
        <v>#REF!</v>
      </c>
      <c r="DB6" t="e">
        <f>AND(#REF!,"AAAAAH+//Wk=")</f>
        <v>#REF!</v>
      </c>
      <c r="DC6" t="e">
        <f>IF(#REF!,"AAAAAH+//Wo=",0)</f>
        <v>#REF!</v>
      </c>
      <c r="DD6" t="e">
        <f>AND(#REF!,"AAAAAH+//Ws=")</f>
        <v>#REF!</v>
      </c>
      <c r="DE6" t="e">
        <f>AND(#REF!,"AAAAAH+//Ww=")</f>
        <v>#REF!</v>
      </c>
      <c r="DF6" t="e">
        <f>AND(#REF!,"AAAAAH+//W0=")</f>
        <v>#REF!</v>
      </c>
      <c r="DG6" t="e">
        <f>AND(#REF!,"AAAAAH+//W4=")</f>
        <v>#REF!</v>
      </c>
      <c r="DH6" t="e">
        <f>AND(#REF!,"AAAAAH+//W8=")</f>
        <v>#REF!</v>
      </c>
      <c r="DI6" t="e">
        <f>AND(#REF!,"AAAAAH+//XA=")</f>
        <v>#REF!</v>
      </c>
      <c r="DJ6" t="e">
        <f>AND(#REF!,"AAAAAH+//XE=")</f>
        <v>#REF!</v>
      </c>
      <c r="DK6" t="e">
        <f>AND(#REF!,"AAAAAH+//XI=")</f>
        <v>#REF!</v>
      </c>
      <c r="DL6" t="e">
        <f>IF(#REF!,"AAAAAH+//XM=",0)</f>
        <v>#REF!</v>
      </c>
      <c r="DM6" t="e">
        <f>AND(#REF!,"AAAAAH+//XQ=")</f>
        <v>#REF!</v>
      </c>
      <c r="DN6" t="e">
        <f>AND(#REF!,"AAAAAH+//XU=")</f>
        <v>#REF!</v>
      </c>
      <c r="DO6" t="e">
        <f>AND(#REF!,"AAAAAH+//XY=")</f>
        <v>#REF!</v>
      </c>
      <c r="DP6" t="e">
        <f>AND(#REF!,"AAAAAH+//Xc=")</f>
        <v>#REF!</v>
      </c>
      <c r="DQ6" t="e">
        <f>AND(#REF!,"AAAAAH+//Xg=")</f>
        <v>#REF!</v>
      </c>
      <c r="DR6" t="e">
        <f>AND(#REF!,"AAAAAH+//Xk=")</f>
        <v>#REF!</v>
      </c>
      <c r="DS6" t="e">
        <f>AND(#REF!,"AAAAAH+//Xo=")</f>
        <v>#REF!</v>
      </c>
      <c r="DT6" t="e">
        <f>AND(#REF!,"AAAAAH+//Xs=")</f>
        <v>#REF!</v>
      </c>
      <c r="DU6" t="e">
        <f>IF(#REF!,"AAAAAH+//Xw=",0)</f>
        <v>#REF!</v>
      </c>
      <c r="DV6" t="e">
        <f>AND(#REF!,"AAAAAH+//X0=")</f>
        <v>#REF!</v>
      </c>
      <c r="DW6" t="e">
        <f>AND(#REF!,"AAAAAH+//X4=")</f>
        <v>#REF!</v>
      </c>
      <c r="DX6" t="e">
        <f>AND(#REF!,"AAAAAH+//X8=")</f>
        <v>#REF!</v>
      </c>
      <c r="DY6" t="e">
        <f>AND(#REF!,"AAAAAH+//YA=")</f>
        <v>#REF!</v>
      </c>
      <c r="DZ6" t="e">
        <f>AND(#REF!,"AAAAAH+//YE=")</f>
        <v>#REF!</v>
      </c>
      <c r="EA6" t="e">
        <f>AND(#REF!,"AAAAAH+//YI=")</f>
        <v>#REF!</v>
      </c>
      <c r="EB6" t="e">
        <f>AND(#REF!,"AAAAAH+//YM=")</f>
        <v>#REF!</v>
      </c>
      <c r="EC6" t="e">
        <f>AND(#REF!,"AAAAAH+//YQ=")</f>
        <v>#REF!</v>
      </c>
      <c r="ED6" t="e">
        <f>IF(#REF!,"AAAAAH+//YU=",0)</f>
        <v>#REF!</v>
      </c>
      <c r="EE6" t="e">
        <f>AND(#REF!,"AAAAAH+//YY=")</f>
        <v>#REF!</v>
      </c>
      <c r="EF6" t="e">
        <f>AND(#REF!,"AAAAAH+//Yc=")</f>
        <v>#REF!</v>
      </c>
      <c r="EG6" t="e">
        <f>AND(#REF!,"AAAAAH+//Yg=")</f>
        <v>#REF!</v>
      </c>
      <c r="EH6" t="e">
        <f>AND(#REF!,"AAAAAH+//Yk=")</f>
        <v>#REF!</v>
      </c>
      <c r="EI6" t="e">
        <f>AND(#REF!,"AAAAAH+//Yo=")</f>
        <v>#REF!</v>
      </c>
      <c r="EJ6" t="e">
        <f>AND(#REF!,"AAAAAH+//Ys=")</f>
        <v>#REF!</v>
      </c>
      <c r="EK6" t="e">
        <f>AND(#REF!,"AAAAAH+//Yw=")</f>
        <v>#REF!</v>
      </c>
      <c r="EL6" t="e">
        <f>AND(#REF!,"AAAAAH+//Y0=")</f>
        <v>#REF!</v>
      </c>
      <c r="EM6" t="e">
        <f>IF(#REF!,"AAAAAH+//Y4=",0)</f>
        <v>#REF!</v>
      </c>
      <c r="EN6" t="e">
        <f>AND(#REF!,"AAAAAH+//Y8=")</f>
        <v>#REF!</v>
      </c>
      <c r="EO6" t="e">
        <f>AND(#REF!,"AAAAAH+//ZA=")</f>
        <v>#REF!</v>
      </c>
      <c r="EP6" t="e">
        <f>AND(#REF!,"AAAAAH+//ZE=")</f>
        <v>#REF!</v>
      </c>
      <c r="EQ6" t="e">
        <f>AND(#REF!,"AAAAAH+//ZI=")</f>
        <v>#REF!</v>
      </c>
      <c r="ER6" t="e">
        <f>AND(#REF!,"AAAAAH+//ZM=")</f>
        <v>#REF!</v>
      </c>
      <c r="ES6" t="e">
        <f>AND(#REF!,"AAAAAH+//ZQ=")</f>
        <v>#REF!</v>
      </c>
      <c r="ET6" t="e">
        <f>AND(#REF!,"AAAAAH+//ZU=")</f>
        <v>#REF!</v>
      </c>
      <c r="EU6" t="e">
        <f>AND(#REF!,"AAAAAH+//ZY=")</f>
        <v>#REF!</v>
      </c>
      <c r="EV6" t="e">
        <f>IF(#REF!,"AAAAAH+//Zc=",0)</f>
        <v>#REF!</v>
      </c>
      <c r="EW6" t="e">
        <f>AND(#REF!,"AAAAAH+//Zg=")</f>
        <v>#REF!</v>
      </c>
      <c r="EX6" t="e">
        <f>AND(#REF!,"AAAAAH+//Zk=")</f>
        <v>#REF!</v>
      </c>
      <c r="EY6" t="e">
        <f>AND(#REF!,"AAAAAH+//Zo=")</f>
        <v>#REF!</v>
      </c>
      <c r="EZ6" t="e">
        <f>AND(#REF!,"AAAAAH+//Zs=")</f>
        <v>#REF!</v>
      </c>
      <c r="FA6" t="e">
        <f>AND(#REF!,"AAAAAH+//Zw=")</f>
        <v>#REF!</v>
      </c>
      <c r="FB6" t="e">
        <f>AND(#REF!,"AAAAAH+//Z0=")</f>
        <v>#REF!</v>
      </c>
      <c r="FC6" t="e">
        <f>AND(#REF!,"AAAAAH+//Z4=")</f>
        <v>#REF!</v>
      </c>
      <c r="FD6" t="e">
        <f>AND(#REF!,"AAAAAH+//Z8=")</f>
        <v>#REF!</v>
      </c>
      <c r="FE6" t="e">
        <f>IF(#REF!,"AAAAAH+//aA=",0)</f>
        <v>#REF!</v>
      </c>
      <c r="FF6" t="e">
        <f>AND(#REF!,"AAAAAH+//aE=")</f>
        <v>#REF!</v>
      </c>
      <c r="FG6" t="e">
        <f>AND(#REF!,"AAAAAH+//aI=")</f>
        <v>#REF!</v>
      </c>
      <c r="FH6" t="e">
        <f>AND(#REF!,"AAAAAH+//aM=")</f>
        <v>#REF!</v>
      </c>
      <c r="FI6" t="e">
        <f>AND(#REF!,"AAAAAH+//aQ=")</f>
        <v>#REF!</v>
      </c>
      <c r="FJ6" t="e">
        <f>AND(#REF!,"AAAAAH+//aU=")</f>
        <v>#REF!</v>
      </c>
      <c r="FK6" t="e">
        <f>AND(#REF!,"AAAAAH+//aY=")</f>
        <v>#REF!</v>
      </c>
      <c r="FL6" t="e">
        <f>AND(#REF!,"AAAAAH+//ac=")</f>
        <v>#REF!</v>
      </c>
      <c r="FM6" t="e">
        <f>AND(#REF!,"AAAAAH+//ag=")</f>
        <v>#REF!</v>
      </c>
      <c r="FN6" t="e">
        <f>IF(#REF!,"AAAAAH+//ak=",0)</f>
        <v>#REF!</v>
      </c>
      <c r="FO6" t="e">
        <f>AND(#REF!,"AAAAAH+//ao=")</f>
        <v>#REF!</v>
      </c>
      <c r="FP6" t="e">
        <f>AND(#REF!,"AAAAAH+//as=")</f>
        <v>#REF!</v>
      </c>
      <c r="FQ6" t="e">
        <f>AND(#REF!,"AAAAAH+//aw=")</f>
        <v>#REF!</v>
      </c>
      <c r="FR6" t="e">
        <f>AND(#REF!,"AAAAAH+//a0=")</f>
        <v>#REF!</v>
      </c>
      <c r="FS6" t="e">
        <f>AND(#REF!,"AAAAAH+//a4=")</f>
        <v>#REF!</v>
      </c>
      <c r="FT6" t="e">
        <f>AND(#REF!,"AAAAAH+//a8=")</f>
        <v>#REF!</v>
      </c>
      <c r="FU6" t="e">
        <f>AND(#REF!,"AAAAAH+//bA=")</f>
        <v>#REF!</v>
      </c>
      <c r="FV6" t="e">
        <f>AND(#REF!,"AAAAAH+//bE=")</f>
        <v>#REF!</v>
      </c>
      <c r="FW6" t="e">
        <f>IF(#REF!,"AAAAAH+//bI=",0)</f>
        <v>#REF!</v>
      </c>
      <c r="FX6" t="e">
        <f>AND(#REF!,"AAAAAH+//bM=")</f>
        <v>#REF!</v>
      </c>
      <c r="FY6" t="e">
        <f>AND(#REF!,"AAAAAH+//bQ=")</f>
        <v>#REF!</v>
      </c>
      <c r="FZ6" t="e">
        <f>AND(#REF!,"AAAAAH+//bU=")</f>
        <v>#REF!</v>
      </c>
      <c r="GA6" t="e">
        <f>AND(#REF!,"AAAAAH+//bY=")</f>
        <v>#REF!</v>
      </c>
      <c r="GB6" t="e">
        <f>AND(#REF!,"AAAAAH+//bc=")</f>
        <v>#REF!</v>
      </c>
      <c r="GC6" t="e">
        <f>AND(#REF!,"AAAAAH+//bg=")</f>
        <v>#REF!</v>
      </c>
      <c r="GD6" t="e">
        <f>AND(#REF!,"AAAAAH+//bk=")</f>
        <v>#REF!</v>
      </c>
      <c r="GE6" t="e">
        <f>AND(#REF!,"AAAAAH+//bo=")</f>
        <v>#REF!</v>
      </c>
      <c r="GF6" t="e">
        <f>IF(#REF!,"AAAAAH+//bs=",0)</f>
        <v>#REF!</v>
      </c>
      <c r="GG6" t="e">
        <f>AND(#REF!,"AAAAAH+//bw=")</f>
        <v>#REF!</v>
      </c>
      <c r="GH6" t="e">
        <f>AND(#REF!,"AAAAAH+//b0=")</f>
        <v>#REF!</v>
      </c>
      <c r="GI6" t="e">
        <f>AND(#REF!,"AAAAAH+//b4=")</f>
        <v>#REF!</v>
      </c>
      <c r="GJ6" t="e">
        <f>AND(#REF!,"AAAAAH+//b8=")</f>
        <v>#REF!</v>
      </c>
      <c r="GK6" t="e">
        <f>AND(#REF!,"AAAAAH+//cA=")</f>
        <v>#REF!</v>
      </c>
      <c r="GL6" t="e">
        <f>AND(#REF!,"AAAAAH+//cE=")</f>
        <v>#REF!</v>
      </c>
      <c r="GM6" t="e">
        <f>AND(#REF!,"AAAAAH+//cI=")</f>
        <v>#REF!</v>
      </c>
      <c r="GN6" t="e">
        <f>AND(#REF!,"AAAAAH+//cM=")</f>
        <v>#REF!</v>
      </c>
      <c r="GO6" t="e">
        <f>IF(#REF!,"AAAAAH+//cQ=",0)</f>
        <v>#REF!</v>
      </c>
      <c r="GP6" t="e">
        <f>AND(#REF!,"AAAAAH+//cU=")</f>
        <v>#REF!</v>
      </c>
      <c r="GQ6" t="e">
        <f>AND(#REF!,"AAAAAH+//cY=")</f>
        <v>#REF!</v>
      </c>
      <c r="GR6" t="e">
        <f>AND(#REF!,"AAAAAH+//cc=")</f>
        <v>#REF!</v>
      </c>
      <c r="GS6" t="e">
        <f>AND(#REF!,"AAAAAH+//cg=")</f>
        <v>#REF!</v>
      </c>
      <c r="GT6" t="e">
        <f>AND(#REF!,"AAAAAH+//ck=")</f>
        <v>#REF!</v>
      </c>
      <c r="GU6" t="e">
        <f>AND(#REF!,"AAAAAH+//co=")</f>
        <v>#REF!</v>
      </c>
      <c r="GV6" t="e">
        <f>AND(#REF!,"AAAAAH+//cs=")</f>
        <v>#REF!</v>
      </c>
      <c r="GW6" t="e">
        <f>AND(#REF!,"AAAAAH+//cw=")</f>
        <v>#REF!</v>
      </c>
      <c r="GX6" t="e">
        <f>IF(#REF!,"AAAAAH+//c0=",0)</f>
        <v>#REF!</v>
      </c>
      <c r="GY6" t="e">
        <f>IF(#REF!,"AAAAAH+//c4=",0)</f>
        <v>#REF!</v>
      </c>
      <c r="GZ6" t="e">
        <f>IF(#REF!,"AAAAAH+//c8=",0)</f>
        <v>#REF!</v>
      </c>
      <c r="HA6" t="e">
        <f>IF(#REF!,"AAAAAH+//dA=",0)</f>
        <v>#REF!</v>
      </c>
      <c r="HB6" t="e">
        <f>IF(#REF!,"AAAAAH+//dE=",0)</f>
        <v>#REF!</v>
      </c>
      <c r="HC6" t="e">
        <f>IF(#REF!,"AAAAAH+//dI=",0)</f>
        <v>#REF!</v>
      </c>
      <c r="HD6" t="e">
        <f>IF(#REF!,"AAAAAH+//dM=",0)</f>
        <v>#REF!</v>
      </c>
    </row>
    <row r="7" spans="1:256">
      <c r="A7" t="e">
        <f>AND(#REF!,"AAAAAHvX9wA=")</f>
        <v>#REF!</v>
      </c>
      <c r="B7" t="e">
        <f>AND(#REF!,"AAAAAHvX9wE=")</f>
        <v>#REF!</v>
      </c>
      <c r="C7" t="e">
        <f>AND(#REF!,"AAAAAHvX9wI=")</f>
        <v>#REF!</v>
      </c>
      <c r="D7" t="e">
        <f>AND(#REF!,"AAAAAHvX9wM=")</f>
        <v>#REF!</v>
      </c>
      <c r="E7" t="e">
        <f>AND(#REF!,"AAAAAHvX9wQ=")</f>
        <v>#REF!</v>
      </c>
      <c r="F7" t="e">
        <f>AND(#REF!,"AAAAAHvX9wU=")</f>
        <v>#REF!</v>
      </c>
      <c r="G7" t="e">
        <f>AND(#REF!,"AAAAAHvX9wY=")</f>
        <v>#REF!</v>
      </c>
      <c r="H7" t="e">
        <f>AND(#REF!,"AAAAAHvX9wc=")</f>
        <v>#REF!</v>
      </c>
      <c r="I7" t="e">
        <f>AND(#REF!,"AAAAAHvX9wg=")</f>
        <v>#REF!</v>
      </c>
      <c r="J7" t="e">
        <f>AND(#REF!,"AAAAAHvX9wk=")</f>
        <v>#REF!</v>
      </c>
      <c r="K7" t="e">
        <f>AND(#REF!,"AAAAAHvX9wo=")</f>
        <v>#REF!</v>
      </c>
      <c r="L7" t="e">
        <f>AND(#REF!,"AAAAAHvX9ws=")</f>
        <v>#REF!</v>
      </c>
      <c r="M7" t="e">
        <f>AND(#REF!,"AAAAAHvX9ww=")</f>
        <v>#REF!</v>
      </c>
      <c r="N7" t="e">
        <f>AND(#REF!,"AAAAAHvX9w0=")</f>
        <v>#REF!</v>
      </c>
      <c r="O7" t="e">
        <f>AND(#REF!,"AAAAAHvX9w4=")</f>
        <v>#REF!</v>
      </c>
      <c r="P7" t="e">
        <f>AND(#REF!,"AAAAAHvX9w8=")</f>
        <v>#REF!</v>
      </c>
      <c r="Q7" t="e">
        <f>AND(#REF!,"AAAAAHvX9xA=")</f>
        <v>#REF!</v>
      </c>
      <c r="R7" t="e">
        <f>AND(#REF!,"AAAAAHvX9xE=")</f>
        <v>#REF!</v>
      </c>
      <c r="S7" t="e">
        <f>AND(#REF!,"AAAAAHvX9xI=")</f>
        <v>#REF!</v>
      </c>
      <c r="T7" t="e">
        <f>AND(#REF!,"AAAAAHvX9xM=")</f>
        <v>#REF!</v>
      </c>
      <c r="U7" t="e">
        <f>AND(#REF!,"AAAAAHvX9xQ=")</f>
        <v>#REF!</v>
      </c>
      <c r="V7" t="e">
        <f>AND(#REF!,"AAAAAHvX9xU=")</f>
        <v>#REF!</v>
      </c>
      <c r="W7" t="e">
        <f>AND(#REF!,"AAAAAHvX9xY=")</f>
        <v>#REF!</v>
      </c>
      <c r="X7" t="e">
        <f>IF(#REF!,"AAAAAHvX9xc=",0)</f>
        <v>#REF!</v>
      </c>
    </row>
    <row r="8" spans="1:256">
      <c r="A8" t="e">
        <f>AND(#REF!,"AAAAAH/V1wA=")</f>
        <v>#REF!</v>
      </c>
      <c r="B8" t="e">
        <f>AND(#REF!,"AAAAAH/V1wE=")</f>
        <v>#REF!</v>
      </c>
      <c r="C8" t="e">
        <f>AND(#REF!,"AAAAAH/V1wI=")</f>
        <v>#REF!</v>
      </c>
      <c r="D8" t="e">
        <f>AND(#REF!,"AAAAAH/V1wM=")</f>
        <v>#REF!</v>
      </c>
      <c r="E8" t="e">
        <f>AND(#REF!,"AAAAAH/V1wQ=")</f>
        <v>#REF!</v>
      </c>
      <c r="F8" t="e">
        <f>AND(#REF!,"AAAAAH/V1wU=")</f>
        <v>#REF!</v>
      </c>
      <c r="G8" t="e">
        <f>AND(#REF!,"AAAAAH/V1wY=")</f>
        <v>#REF!</v>
      </c>
      <c r="H8" t="e">
        <f>AND(#REF!,"AAAAAH/V1wc=")</f>
        <v>#REF!</v>
      </c>
      <c r="I8" t="e">
        <f>AND(#REF!,"AAAAAH/V1wg=")</f>
        <v>#REF!</v>
      </c>
      <c r="J8" t="e">
        <f>AND(#REF!,"AAAAAH/V1wk=")</f>
        <v>#REF!</v>
      </c>
      <c r="K8" t="e">
        <f>AND(#REF!,"AAAAAH/V1wo=")</f>
        <v>#REF!</v>
      </c>
      <c r="L8" t="e">
        <f>AND(#REF!,"AAAAAH/V1ws=")</f>
        <v>#REF!</v>
      </c>
      <c r="M8" t="e">
        <f>AND(#REF!,"AAAAAH/V1ww=")</f>
        <v>#REF!</v>
      </c>
      <c r="N8" t="e">
        <f>AND(#REF!,"AAAAAH/V1w0=")</f>
        <v>#REF!</v>
      </c>
      <c r="O8" t="e">
        <f>AND(#REF!,"AAAAAH/V1w4=")</f>
        <v>#REF!</v>
      </c>
      <c r="P8" t="e">
        <f>AND(#REF!,"AAAAAH/V1w8=")</f>
        <v>#REF!</v>
      </c>
      <c r="Q8" t="e">
        <f>AND(#REF!,"AAAAAH/V1xA=")</f>
        <v>#REF!</v>
      </c>
      <c r="R8" t="e">
        <f>AND(#REF!,"AAAAAH/V1xE=")</f>
        <v>#REF!</v>
      </c>
      <c r="S8" t="e">
        <f>AND(#REF!,"AAAAAH/V1xI=")</f>
        <v>#REF!</v>
      </c>
      <c r="T8" t="e">
        <f>AND(#REF!,"AAAAAH/V1xM=")</f>
        <v>#REF!</v>
      </c>
      <c r="U8" t="e">
        <f>AND(#REF!,"AAAAAH/V1xQ=")</f>
        <v>#REF!</v>
      </c>
      <c r="V8" t="e">
        <f>AND(#REF!,"AAAAAH/V1xU=")</f>
        <v>#REF!</v>
      </c>
      <c r="W8" t="e">
        <f>AND(#REF!,"AAAAAH/V1xY=")</f>
        <v>#REF!</v>
      </c>
      <c r="X8" t="e">
        <f>IF(#REF!,"AAAAAH/V1xc=",0)</f>
        <v>#REF!</v>
      </c>
    </row>
    <row r="9" spans="1:256">
      <c r="A9" s="1" t="s">
        <v>5</v>
      </c>
    </row>
    <row r="10" spans="1:256">
      <c r="A10" t="e">
        <f>AND('4-20 mA'!C8,"AAAAAF5/uwA=")</f>
        <v>#VALUE!</v>
      </c>
    </row>
    <row r="11" spans="1:256">
      <c r="A11" t="e">
        <f>AND('4-20 mA'!K2,"AAAAAH/3iwA=")</f>
        <v>#VALUE!</v>
      </c>
      <c r="B11" t="e">
        <f>AND('4-20 mA'!K3,"AAAAAH/3iwE=")</f>
        <v>#VALUE!</v>
      </c>
      <c r="C11" t="e">
        <f>AND('4-20 mA'!K4,"AAAAAH/3iwI=")</f>
        <v>#VALUE!</v>
      </c>
      <c r="D11" t="e">
        <f>AND('4-20 mA'!K5,"AAAAAH/3iwM=")</f>
        <v>#VALUE!</v>
      </c>
      <c r="E11" t="e">
        <f>AND('4-20 mA'!K6,"AAAAAH/3iwQ=")</f>
        <v>#VALUE!</v>
      </c>
      <c r="F11" t="e">
        <f>AND('4-20 mA'!K7,"AAAAAH/3iwU=")</f>
        <v>#VALUE!</v>
      </c>
      <c r="G11" t="e">
        <f>AND('4-20 mA'!K8,"AAAAAH/3iwY=")</f>
        <v>#VALUE!</v>
      </c>
      <c r="H11" t="e">
        <f>AND('4-20 mA'!K9,"AAAAAH/3iwc=")</f>
        <v>#VALUE!</v>
      </c>
      <c r="I11" t="e">
        <f>AND('4-20 mA'!K10,"AAAAAH/3iwg=")</f>
        <v>#VALUE!</v>
      </c>
      <c r="J11" t="e">
        <f>AND('4-20 mA'!K11,"AAAAAH/3iwk=")</f>
        <v>#VALUE!</v>
      </c>
      <c r="K11" t="e">
        <f>AND('4-20 mA'!K12,"AAAAAH/3iwo=")</f>
        <v>#VALUE!</v>
      </c>
      <c r="L11" t="e">
        <f>AND('4-20 mA'!K13,"AAAAAH/3iws=")</f>
        <v>#VALUE!</v>
      </c>
      <c r="M11" t="e">
        <f>AND('4-20 mA'!K14,"AAAAAH/3iww=")</f>
        <v>#VALUE!</v>
      </c>
      <c r="N11" t="e">
        <f>AND('4-20 mA'!K15,"AAAAAH/3iw0=")</f>
        <v>#VALUE!</v>
      </c>
      <c r="O11" t="e">
        <f>AND('4-20 mA'!K16,"AAAAAH/3iw4=")</f>
        <v>#VALUE!</v>
      </c>
      <c r="P11" t="e">
        <f>AND('4-20 mA'!K17,"AAAAAH/3iw8=")</f>
        <v>#VALUE!</v>
      </c>
      <c r="Q11" t="e">
        <f>AND('4-20 mA'!K18,"AAAAAH/3ixA=")</f>
        <v>#VALUE!</v>
      </c>
      <c r="R11" t="e">
        <f>AND('4-20 mA'!K19,"AAAAAH/3ixE=")</f>
        <v>#VALUE!</v>
      </c>
      <c r="S11" t="e">
        <f>AND('4-20 mA'!K20,"AAAAAH/3ixI=")</f>
        <v>#VALUE!</v>
      </c>
      <c r="T11" t="e">
        <f>AND('4-20 mA'!K21,"AAAAAH/3ixM=")</f>
        <v>#VALUE!</v>
      </c>
      <c r="U11" t="e">
        <f>AND('4-20 mA'!K22,"AAAAAH/3ixQ=")</f>
        <v>#VALUE!</v>
      </c>
      <c r="V11" t="e">
        <f>AND('4-20 mA'!K23,"AAAAAH/3ixU=")</f>
        <v>#VALUE!</v>
      </c>
      <c r="W11" t="e">
        <f>AND('4-20 mA'!K24,"AAAAAH/3ixY=")</f>
        <v>#VALUE!</v>
      </c>
      <c r="X11" t="e">
        <f>AND('4-20 mA'!K25,"AAAAAH/3ixc=")</f>
        <v>#VALUE!</v>
      </c>
      <c r="Y11" t="e">
        <f>AND('4-20 mA'!K26,"AAAAAH/3ixg=")</f>
        <v>#VALUE!</v>
      </c>
      <c r="Z11" t="e">
        <f>AND('4-20 mA'!K27,"AAAAAH/3ixk=")</f>
        <v>#VALUE!</v>
      </c>
      <c r="AA11" t="e">
        <f>AND('4-20 mA'!K28,"AAAAAH/3ixo=")</f>
        <v>#VALUE!</v>
      </c>
      <c r="AB11" t="e">
        <f>AND('4-20 mA'!K29,"AAAAAH/3ixs=")</f>
        <v>#VALUE!</v>
      </c>
      <c r="AC11" t="e">
        <f>AND('4-20 mA'!K30,"AAAAAH/3ixw=")</f>
        <v>#VALUE!</v>
      </c>
      <c r="AD11" t="e">
        <f>AND('4-20 mA'!K31,"AAAAAH/3ix0=")</f>
        <v>#VALUE!</v>
      </c>
      <c r="AE11" t="e">
        <f>AND('4-20 mA'!K32,"AAAAAH/3ix4=")</f>
        <v>#VALUE!</v>
      </c>
      <c r="AF11" t="e">
        <f>AND('4-20 mA'!K33,"AAAAAH/3ix8=")</f>
        <v>#VALUE!</v>
      </c>
      <c r="AG11" t="e">
        <f>AND('4-20 mA'!K34,"AAAAAH/3iyA=")</f>
        <v>#VALUE!</v>
      </c>
      <c r="AH11" t="e">
        <f>AND('4-20 mA'!K35,"AAAAAH/3iyE=")</f>
        <v>#VALUE!</v>
      </c>
      <c r="AI11" t="e">
        <f>AND('4-20 mA'!K36,"AAAAAH/3iyI=")</f>
        <v>#VALUE!</v>
      </c>
      <c r="AJ11" t="e">
        <f>AND('4-20 mA'!K37,"AAAAAH/3iyM=")</f>
        <v>#VALUE!</v>
      </c>
      <c r="AK11" t="e">
        <f>AND('4-20 mA'!K38,"AAAAAH/3iyQ=")</f>
        <v>#VALUE!</v>
      </c>
      <c r="AL11" t="e">
        <f>AND('4-20 mA'!K39,"AAAAAH/3iyU=")</f>
        <v>#VALUE!</v>
      </c>
      <c r="AM11" t="e">
        <f>AND('4-20 mA'!K40,"AAAAAH/3iyY=")</f>
        <v>#VALUE!</v>
      </c>
      <c r="AN11" t="e">
        <f>AND('4-20 mA'!K41,"AAAAAH/3iyc=")</f>
        <v>#VALUE!</v>
      </c>
      <c r="AO11" t="e">
        <f>AND('4-20 mA'!K42,"AAAAAH/3iyg=")</f>
        <v>#VALUE!</v>
      </c>
      <c r="AP11" t="e">
        <f>AND('4-20 mA'!K43,"AAAAAH/3iyk=")</f>
        <v>#VALUE!</v>
      </c>
      <c r="AQ11" t="e">
        <f>AND('4-20 mA'!K44,"AAAAAH/3iyo=")</f>
        <v>#VALUE!</v>
      </c>
      <c r="AR11" t="e">
        <f>AND('4-20 mA'!K45,"AAAAAH/3iys=")</f>
        <v>#VALUE!</v>
      </c>
      <c r="AS11" t="e">
        <f>AND('4-20 mA'!K46,"AAAAAH/3iyw=")</f>
        <v>#VALUE!</v>
      </c>
      <c r="AT11" t="e">
        <f>AND('4-20 mA'!K47,"AAAAAH/3iy0=")</f>
        <v>#VALUE!</v>
      </c>
      <c r="AU11" t="e">
        <f>AND('4-20 mA'!K48,"AAAAAH/3iy4=")</f>
        <v>#VALUE!</v>
      </c>
      <c r="AV11" t="e">
        <f>AND('4-20 mA'!K49,"AAAAAH/3iy8=")</f>
        <v>#VALUE!</v>
      </c>
      <c r="AW11" t="e">
        <f>AND('4-20 mA'!K50,"AAAAAH/3izA=")</f>
        <v>#VALUE!</v>
      </c>
      <c r="AX11" t="e">
        <f>AND('4-20 mA'!K51,"AAAAAH/3izE=")</f>
        <v>#VALUE!</v>
      </c>
      <c r="AY11" t="e">
        <f>AND('4-20 mA'!K52,"AAAAAH/3izI=")</f>
        <v>#VALUE!</v>
      </c>
      <c r="AZ11" t="e">
        <f>AND('4-20 mA'!K53,"AAAAAH/3izM=")</f>
        <v>#VALUE!</v>
      </c>
      <c r="BA11" t="e">
        <f>AND('4-20 mA'!K54,"AAAAAH/3izQ=")</f>
        <v>#VALUE!</v>
      </c>
      <c r="BB11" t="e">
        <f>AND('4-20 mA'!K55,"AAAAAH/3izU=")</f>
        <v>#VALUE!</v>
      </c>
      <c r="BC11" t="e">
        <f>AND('4-20 mA'!K56,"AAAAAH/3izY=")</f>
        <v>#VALUE!</v>
      </c>
      <c r="BD11" t="e">
        <f>AND('4-20 mA'!K57,"AAAAAH/3izc=")</f>
        <v>#VALUE!</v>
      </c>
      <c r="BE11" t="e">
        <f>AND('4-20 mA'!K58,"AAAAAH/3izg=")</f>
        <v>#VALUE!</v>
      </c>
      <c r="BF11" t="e">
        <f>AND('4-20 mA'!K59,"AAAAAH/3izk=")</f>
        <v>#VALUE!</v>
      </c>
      <c r="BG11" t="e">
        <f>AND('4-20 mA'!K60,"AAAAAH/3izo=")</f>
        <v>#VALUE!</v>
      </c>
      <c r="BH11" t="e">
        <f>AND('4-20 mA'!K61,"AAAAAH/3izs=")</f>
        <v>#VALUE!</v>
      </c>
      <c r="BI11" t="e">
        <f>AND('4-20 mA'!K62,"AAAAAH/3izw=")</f>
        <v>#VALUE!</v>
      </c>
      <c r="BJ11" t="e">
        <f>AND('4-20 mA'!K63,"AAAAAH/3iz0=")</f>
        <v>#VALUE!</v>
      </c>
      <c r="BK11" t="e">
        <f>AND('4-20 mA'!K64,"AAAAAH/3iz4=")</f>
        <v>#VALUE!</v>
      </c>
      <c r="BL11" t="e">
        <f>AND('4-20 mA'!K65,"AAAAAH/3iz8=")</f>
        <v>#VALUE!</v>
      </c>
      <c r="BM11">
        <f>IF('4-20 mA'!K:K,"AAAAAH/3i0A=",0)</f>
        <v>0</v>
      </c>
    </row>
    <row r="12" spans="1:256">
      <c r="A12" t="e">
        <f>IF('4-20 mA'!1:1,"AAAAAAvWXgA=",0)</f>
        <v>#VALUE!</v>
      </c>
      <c r="B12" t="e">
        <f>AND('4-20 mA'!A1,"AAAAAAvWXgE=")</f>
        <v>#VALUE!</v>
      </c>
      <c r="C12" t="e">
        <f>AND('4-20 mA'!B1,"AAAAAAvWXgI=")</f>
        <v>#VALUE!</v>
      </c>
      <c r="D12" t="e">
        <f>AND('4-20 mA'!C1,"AAAAAAvWXgM=")</f>
        <v>#VALUE!</v>
      </c>
      <c r="E12" t="e">
        <f>AND('4-20 mA'!D1,"AAAAAAvWXgQ=")</f>
        <v>#VALUE!</v>
      </c>
      <c r="F12" t="e">
        <f>AND('4-20 mA'!E1,"AAAAAAvWXgU=")</f>
        <v>#VALUE!</v>
      </c>
      <c r="G12" t="e">
        <f>AND('4-20 mA'!F1,"AAAAAAvWXgY=")</f>
        <v>#VALUE!</v>
      </c>
      <c r="H12" t="e">
        <f>AND('4-20 mA'!G1,"AAAAAAvWXgc=")</f>
        <v>#VALUE!</v>
      </c>
      <c r="I12" t="e">
        <f>AND('4-20 mA'!H1,"AAAAAAvWXgg=")</f>
        <v>#VALUE!</v>
      </c>
      <c r="J12" t="e">
        <f>AND('4-20 mA'!#REF!,"AAAAAAvWXgk=")</f>
        <v>#REF!</v>
      </c>
      <c r="K12" t="e">
        <f>AND('4-20 mA'!I1,"AAAAAAvWXgo=")</f>
        <v>#VALUE!</v>
      </c>
      <c r="L12" t="e">
        <f>AND('4-20 mA'!J1,"AAAAAAvWXgs=")</f>
        <v>#VALUE!</v>
      </c>
      <c r="M12" t="e">
        <f>AND('4-20 mA'!E8,"AAAAAAvWXgw=")</f>
        <v>#VALUE!</v>
      </c>
    </row>
    <row r="13" spans="1:256">
      <c r="A13" t="e">
        <f>AND('1-5 Vdc'!B1,"AAAAAHyfuwA=")</f>
        <v>#VALUE!</v>
      </c>
      <c r="B13" t="e">
        <f>AND('1-5 Vdc'!C1,"AAAAAHyfuwE=")</f>
        <v>#VALUE!</v>
      </c>
      <c r="C13" t="e">
        <f>AND('1-5 Vdc'!D1,"AAAAAHyfuwI=")</f>
        <v>#VALUE!</v>
      </c>
      <c r="D13" t="e">
        <f>AND('1-5 Vdc'!E1,"AAAAAHyfuwM=")</f>
        <v>#VALUE!</v>
      </c>
      <c r="E13" t="e">
        <f>AND('1-5 Vdc'!F1,"AAAAAHyfuwQ=")</f>
        <v>#VALUE!</v>
      </c>
      <c r="F13" t="e">
        <f>AND('1-5 Vdc'!G1,"AAAAAHyfuwU=")</f>
        <v>#VALUE!</v>
      </c>
      <c r="G13" t="e">
        <f>AND('1-5 Vdc'!H1,"AAAAAHyfuwY=")</f>
        <v>#VALUE!</v>
      </c>
      <c r="H13" t="e">
        <f>AND('1-5 Vdc'!I1,"AAAAAHyfuwc=")</f>
        <v>#VALUE!</v>
      </c>
      <c r="I13" t="e">
        <f>AND('1-5 Vdc'!J1,"AAAAAHyfuwg=")</f>
        <v>#VALUE!</v>
      </c>
      <c r="J13">
        <f>IF('1-5 Vdc'!2:2,"AAAAAHyfuwk=",0)</f>
        <v>0</v>
      </c>
      <c r="K13" t="e">
        <f>AND('1-5 Vdc'!A2,"AAAAAHyfuwo=")</f>
        <v>#VALUE!</v>
      </c>
      <c r="L13" t="e">
        <f>AND('1-5 Vdc'!B2,"AAAAAHyfuws=")</f>
        <v>#VALUE!</v>
      </c>
      <c r="M13" t="e">
        <f>AND('1-5 Vdc'!C2,"AAAAAHyfuww=")</f>
        <v>#VALUE!</v>
      </c>
      <c r="N13" t="e">
        <f>AND('1-5 Vdc'!D2,"AAAAAHyfuw0=")</f>
        <v>#VALUE!</v>
      </c>
      <c r="O13" t="e">
        <f>AND('1-5 Vdc'!E2,"AAAAAHyfuw4=")</f>
        <v>#VALUE!</v>
      </c>
      <c r="P13" t="e">
        <f>AND('1-5 Vdc'!F2,"AAAAAHyfuw8=")</f>
        <v>#VALUE!</v>
      </c>
      <c r="Q13" t="e">
        <f>AND('1-5 Vdc'!G2,"AAAAAHyfuxA=")</f>
        <v>#VALUE!</v>
      </c>
      <c r="R13" t="e">
        <f>AND('1-5 Vdc'!H2,"AAAAAHyfuxE=")</f>
        <v>#VALUE!</v>
      </c>
      <c r="S13" t="e">
        <f>AND('1-5 Vdc'!I2,"AAAAAHyfuxI=")</f>
        <v>#VALUE!</v>
      </c>
      <c r="T13" t="e">
        <f>AND('1-5 Vdc'!J2,"AAAAAHyfuxM=")</f>
        <v>#VALUE!</v>
      </c>
      <c r="U13">
        <f>IF('1-5 Vdc'!3:3,"AAAAAHyfuxQ=",0)</f>
        <v>0</v>
      </c>
      <c r="V13" t="e">
        <f>AND('1-5 Vdc'!A3,"AAAAAHyfuxU=")</f>
        <v>#VALUE!</v>
      </c>
      <c r="W13" t="e">
        <f>AND('1-5 Vdc'!B3,"AAAAAHyfuxY=")</f>
        <v>#VALUE!</v>
      </c>
      <c r="X13" t="e">
        <f>AND('1-5 Vdc'!C3,"AAAAAHyfuxc=")</f>
        <v>#VALUE!</v>
      </c>
      <c r="Y13" t="e">
        <f>AND('1-5 Vdc'!D3,"AAAAAHyfuxg=")</f>
        <v>#VALUE!</v>
      </c>
      <c r="Z13" t="e">
        <f>AND('1-5 Vdc'!E3,"AAAAAHyfuxk=")</f>
        <v>#VALUE!</v>
      </c>
      <c r="AA13" t="e">
        <f>AND('1-5 Vdc'!F3,"AAAAAHyfuxo=")</f>
        <v>#VALUE!</v>
      </c>
      <c r="AB13" t="e">
        <f>AND('1-5 Vdc'!G3,"AAAAAHyfuxs=")</f>
        <v>#VALUE!</v>
      </c>
      <c r="AC13" t="e">
        <f>AND('1-5 Vdc'!H3,"AAAAAHyfuxw=")</f>
        <v>#VALUE!</v>
      </c>
      <c r="AD13" t="e">
        <f>AND('1-5 Vdc'!I3,"AAAAAHyfux0=")</f>
        <v>#VALUE!</v>
      </c>
      <c r="AE13" t="e">
        <f>AND('1-5 Vdc'!J3,"AAAAAHyfux4=")</f>
        <v>#VALUE!</v>
      </c>
      <c r="AF13">
        <f>IF('1-5 Vdc'!4:4,"AAAAAHyfux8=",0)</f>
        <v>0</v>
      </c>
      <c r="AG13" t="e">
        <f>AND('1-5 Vdc'!A4,"AAAAAHyfuyA=")</f>
        <v>#VALUE!</v>
      </c>
      <c r="AH13" t="e">
        <f>AND('1-5 Vdc'!B4,"AAAAAHyfuyE=")</f>
        <v>#VALUE!</v>
      </c>
      <c r="AI13" t="e">
        <f>AND('1-5 Vdc'!C4,"AAAAAHyfuyI=")</f>
        <v>#VALUE!</v>
      </c>
      <c r="AJ13" t="e">
        <f>AND('1-5 Vdc'!D4,"AAAAAHyfuyM=")</f>
        <v>#VALUE!</v>
      </c>
      <c r="AK13" t="e">
        <f>AND('1-5 Vdc'!E4,"AAAAAHyfuyQ=")</f>
        <v>#VALUE!</v>
      </c>
      <c r="AL13" t="e">
        <f>AND('1-5 Vdc'!F4,"AAAAAHyfuyU=")</f>
        <v>#VALUE!</v>
      </c>
      <c r="AM13" t="e">
        <f>AND('1-5 Vdc'!G4,"AAAAAHyfuyY=")</f>
        <v>#VALUE!</v>
      </c>
      <c r="AN13" t="e">
        <f>AND('1-5 Vdc'!H4,"AAAAAHyfuyc=")</f>
        <v>#VALUE!</v>
      </c>
      <c r="AO13" t="e">
        <f>AND('1-5 Vdc'!I4,"AAAAAHyfuyg=")</f>
        <v>#VALUE!</v>
      </c>
      <c r="AP13" t="e">
        <f>AND('1-5 Vdc'!J4,"AAAAAHyfuyk=")</f>
        <v>#VALUE!</v>
      </c>
      <c r="AQ13">
        <f>IF('1-5 Vdc'!5:5,"AAAAAHyfuyo=",0)</f>
        <v>0</v>
      </c>
      <c r="AR13" t="e">
        <f>AND('1-5 Vdc'!A5,"AAAAAHyfuys=")</f>
        <v>#VALUE!</v>
      </c>
      <c r="AS13" t="e">
        <f>AND('1-5 Vdc'!B5,"AAAAAHyfuyw=")</f>
        <v>#VALUE!</v>
      </c>
      <c r="AT13" t="e">
        <f>AND('1-5 Vdc'!C5,"AAAAAHyfuy0=")</f>
        <v>#VALUE!</v>
      </c>
      <c r="AU13" t="e">
        <f>AND('1-5 Vdc'!D5,"AAAAAHyfuy4=")</f>
        <v>#VALUE!</v>
      </c>
      <c r="AV13" t="e">
        <f>AND('1-5 Vdc'!E5,"AAAAAHyfuy8=")</f>
        <v>#VALUE!</v>
      </c>
      <c r="AW13" t="e">
        <f>AND('1-5 Vdc'!F5,"AAAAAHyfuzA=")</f>
        <v>#VALUE!</v>
      </c>
      <c r="AX13" t="e">
        <f>AND('1-5 Vdc'!G5,"AAAAAHyfuzE=")</f>
        <v>#VALUE!</v>
      </c>
      <c r="AY13" t="e">
        <f>AND('1-5 Vdc'!H5,"AAAAAHyfuzI=")</f>
        <v>#VALUE!</v>
      </c>
      <c r="AZ13" t="e">
        <f>AND('1-5 Vdc'!I5,"AAAAAHyfuzM=")</f>
        <v>#VALUE!</v>
      </c>
      <c r="BA13" t="e">
        <f>AND('1-5 Vdc'!J5,"AAAAAHyfuzQ=")</f>
        <v>#VALUE!</v>
      </c>
      <c r="BB13">
        <f>IF('1-5 Vdc'!6:6,"AAAAAHyfuzU=",0)</f>
        <v>0</v>
      </c>
      <c r="BC13" t="e">
        <f>AND('1-5 Vdc'!A6,"AAAAAHyfuzY=")</f>
        <v>#VALUE!</v>
      </c>
      <c r="BD13" t="e">
        <f>AND('1-5 Vdc'!B6,"AAAAAHyfuzc=")</f>
        <v>#VALUE!</v>
      </c>
      <c r="BE13" t="e">
        <f>AND('1-5 Vdc'!C6,"AAAAAHyfuzg=")</f>
        <v>#VALUE!</v>
      </c>
      <c r="BF13" t="e">
        <f>AND('1-5 Vdc'!D6,"AAAAAHyfuzk=")</f>
        <v>#VALUE!</v>
      </c>
      <c r="BG13" t="e">
        <f>AND('1-5 Vdc'!E6,"AAAAAHyfuzo=")</f>
        <v>#VALUE!</v>
      </c>
      <c r="BH13" t="e">
        <f>AND('1-5 Vdc'!F6,"AAAAAHyfuzs=")</f>
        <v>#VALUE!</v>
      </c>
      <c r="BI13" t="e">
        <f>AND('1-5 Vdc'!G6,"AAAAAHyfuzw=")</f>
        <v>#VALUE!</v>
      </c>
      <c r="BJ13" t="e">
        <f>AND('1-5 Vdc'!H6,"AAAAAHyfuz0=")</f>
        <v>#VALUE!</v>
      </c>
      <c r="BK13" t="e">
        <f>AND('1-5 Vdc'!I6,"AAAAAHyfuz4=")</f>
        <v>#VALUE!</v>
      </c>
      <c r="BL13" t="e">
        <f>AND('1-5 Vdc'!J6,"AAAAAHyfuz8=")</f>
        <v>#VALUE!</v>
      </c>
      <c r="BM13">
        <f>IF('1-5 Vdc'!7:7,"AAAAAHyfu0A=",0)</f>
        <v>0</v>
      </c>
      <c r="BN13" t="e">
        <f>AND('1-5 Vdc'!A7,"AAAAAHyfu0E=")</f>
        <v>#VALUE!</v>
      </c>
      <c r="BO13" t="e">
        <f>AND('1-5 Vdc'!B7,"AAAAAHyfu0I=")</f>
        <v>#VALUE!</v>
      </c>
      <c r="BP13" t="e">
        <f>AND('1-5 Vdc'!C7,"AAAAAHyfu0M=")</f>
        <v>#VALUE!</v>
      </c>
      <c r="BQ13" t="e">
        <f>AND('1-5 Vdc'!D7,"AAAAAHyfu0Q=")</f>
        <v>#VALUE!</v>
      </c>
      <c r="BR13" t="e">
        <f>AND('1-5 Vdc'!E7,"AAAAAHyfu0U=")</f>
        <v>#VALUE!</v>
      </c>
      <c r="BS13" t="e">
        <f>AND('1-5 Vdc'!F7,"AAAAAHyfu0Y=")</f>
        <v>#VALUE!</v>
      </c>
      <c r="BT13" t="e">
        <f>AND('1-5 Vdc'!G7,"AAAAAHyfu0c=")</f>
        <v>#VALUE!</v>
      </c>
      <c r="BU13" t="e">
        <f>AND('1-5 Vdc'!H7,"AAAAAHyfu0g=")</f>
        <v>#VALUE!</v>
      </c>
      <c r="BV13" t="e">
        <f>AND('1-5 Vdc'!I7,"AAAAAHyfu0k=")</f>
        <v>#VALUE!</v>
      </c>
      <c r="BW13" t="e">
        <f>AND('1-5 Vdc'!J7,"AAAAAHyfu0o=")</f>
        <v>#VALUE!</v>
      </c>
      <c r="BX13">
        <f>IF('1-5 Vdc'!8:8,"AAAAAHyfu0s=",0)</f>
        <v>0</v>
      </c>
      <c r="BY13" t="e">
        <f>AND('1-5 Vdc'!#REF!,"AAAAAHyfu0w=")</f>
        <v>#REF!</v>
      </c>
      <c r="BZ13" t="e">
        <f>AND('1-5 Vdc'!A8,"AAAAAHyfu00=")</f>
        <v>#VALUE!</v>
      </c>
      <c r="CA13" t="e">
        <f>AND('1-5 Vdc'!C8,"AAAAAHyfu04=")</f>
        <v>#VALUE!</v>
      </c>
      <c r="CB13" t="e">
        <f>AND('1-5 Vdc'!D8,"AAAAAHyfu08=")</f>
        <v>#VALUE!</v>
      </c>
      <c r="CC13" t="e">
        <f>AND('1-5 Vdc'!E8,"AAAAAHyfu1A=")</f>
        <v>#VALUE!</v>
      </c>
      <c r="CD13" t="e">
        <f>AND('1-5 Vdc'!F8,"AAAAAHyfu1E=")</f>
        <v>#VALUE!</v>
      </c>
      <c r="CE13" t="e">
        <f>AND('1-5 Vdc'!G8,"AAAAAHyfu1I=")</f>
        <v>#VALUE!</v>
      </c>
      <c r="CF13" t="e">
        <f>AND('1-5 Vdc'!H8,"AAAAAHyfu1M=")</f>
        <v>#VALUE!</v>
      </c>
      <c r="CG13" t="e">
        <f>AND('1-5 Vdc'!I8,"AAAAAHyfu1Q=")</f>
        <v>#VALUE!</v>
      </c>
      <c r="CH13" t="e">
        <f>AND('1-5 Vdc'!J8,"AAAAAHyfu1U=")</f>
        <v>#VALUE!</v>
      </c>
      <c r="CI13">
        <f>IF('1-5 Vdc'!9:9,"AAAAAHyfu1Y=",0)</f>
        <v>0</v>
      </c>
      <c r="CJ13" t="e">
        <f>AND('1-5 Vdc'!A9,"AAAAAHyfu1c=")</f>
        <v>#VALUE!</v>
      </c>
      <c r="CK13" t="e">
        <f>AND('1-5 Vdc'!B9,"AAAAAHyfu1g=")</f>
        <v>#VALUE!</v>
      </c>
      <c r="CL13" t="e">
        <f>AND('1-5 Vdc'!C9,"AAAAAHyfu1k=")</f>
        <v>#VALUE!</v>
      </c>
      <c r="CM13" t="e">
        <f>AND('1-5 Vdc'!D9,"AAAAAHyfu1o=")</f>
        <v>#VALUE!</v>
      </c>
      <c r="CN13" t="e">
        <f>AND('1-5 Vdc'!E9,"AAAAAHyfu1s=")</f>
        <v>#VALUE!</v>
      </c>
      <c r="CO13" t="e">
        <f>AND('1-5 Vdc'!F9,"AAAAAHyfu1w=")</f>
        <v>#VALUE!</v>
      </c>
      <c r="CP13" t="e">
        <f>AND('1-5 Vdc'!G9,"AAAAAHyfu10=")</f>
        <v>#VALUE!</v>
      </c>
      <c r="CQ13" t="e">
        <f>AND('1-5 Vdc'!H9,"AAAAAHyfu14=")</f>
        <v>#VALUE!</v>
      </c>
      <c r="CR13" t="e">
        <f>AND('1-5 Vdc'!I9,"AAAAAHyfu18=")</f>
        <v>#VALUE!</v>
      </c>
      <c r="CS13" t="e">
        <f>AND('1-5 Vdc'!J9,"AAAAAHyfu2A=")</f>
        <v>#VALUE!</v>
      </c>
      <c r="CT13">
        <f>IF('1-5 Vdc'!10:10,"AAAAAHyfu2E=",0)</f>
        <v>0</v>
      </c>
      <c r="CU13" t="e">
        <f>AND('1-5 Vdc'!A10,"AAAAAHyfu2I=")</f>
        <v>#VALUE!</v>
      </c>
      <c r="CV13" t="e">
        <f>AND('1-5 Vdc'!B10,"AAAAAHyfu2M=")</f>
        <v>#VALUE!</v>
      </c>
      <c r="CW13" t="e">
        <f>AND('1-5 Vdc'!C10,"AAAAAHyfu2Q=")</f>
        <v>#VALUE!</v>
      </c>
      <c r="CX13" t="e">
        <f>AND('1-5 Vdc'!D10,"AAAAAHyfu2U=")</f>
        <v>#VALUE!</v>
      </c>
      <c r="CY13" t="e">
        <f>AND('1-5 Vdc'!E10,"AAAAAHyfu2Y=")</f>
        <v>#VALUE!</v>
      </c>
      <c r="CZ13" t="e">
        <f>AND('1-5 Vdc'!F10,"AAAAAHyfu2c=")</f>
        <v>#VALUE!</v>
      </c>
      <c r="DA13" t="e">
        <f>AND('1-5 Vdc'!G10,"AAAAAHyfu2g=")</f>
        <v>#VALUE!</v>
      </c>
      <c r="DB13" t="e">
        <f>AND('1-5 Vdc'!H10,"AAAAAHyfu2k=")</f>
        <v>#VALUE!</v>
      </c>
      <c r="DC13" t="e">
        <f>AND('1-5 Vdc'!I10,"AAAAAHyfu2o=")</f>
        <v>#VALUE!</v>
      </c>
      <c r="DD13" t="e">
        <f>AND('1-5 Vdc'!J10,"AAAAAHyfu2s=")</f>
        <v>#VALUE!</v>
      </c>
      <c r="DE13">
        <f>IF('1-5 Vdc'!11:11,"AAAAAHyfu2w=",0)</f>
        <v>0</v>
      </c>
      <c r="DF13" t="e">
        <f>AND('1-5 Vdc'!A11,"AAAAAHyfu20=")</f>
        <v>#VALUE!</v>
      </c>
      <c r="DG13" t="e">
        <f>AND('1-5 Vdc'!B11,"AAAAAHyfu24=")</f>
        <v>#VALUE!</v>
      </c>
      <c r="DH13" t="e">
        <f>AND('1-5 Vdc'!C11,"AAAAAHyfu28=")</f>
        <v>#VALUE!</v>
      </c>
      <c r="DI13" t="e">
        <f>AND('1-5 Vdc'!D11,"AAAAAHyfu3A=")</f>
        <v>#VALUE!</v>
      </c>
      <c r="DJ13" t="e">
        <f>AND('1-5 Vdc'!E11,"AAAAAHyfu3E=")</f>
        <v>#VALUE!</v>
      </c>
      <c r="DK13" t="e">
        <f>AND('1-5 Vdc'!F11,"AAAAAHyfu3I=")</f>
        <v>#VALUE!</v>
      </c>
      <c r="DL13" t="e">
        <f>AND('1-5 Vdc'!G11,"AAAAAHyfu3M=")</f>
        <v>#VALUE!</v>
      </c>
      <c r="DM13" t="e">
        <f>AND('1-5 Vdc'!H11,"AAAAAHyfu3Q=")</f>
        <v>#VALUE!</v>
      </c>
      <c r="DN13" t="e">
        <f>AND('1-5 Vdc'!I11,"AAAAAHyfu3U=")</f>
        <v>#VALUE!</v>
      </c>
      <c r="DO13" t="e">
        <f>AND('1-5 Vdc'!J11,"AAAAAHyfu3Y=")</f>
        <v>#VALUE!</v>
      </c>
      <c r="DP13">
        <f>IF('1-5 Vdc'!12:12,"AAAAAHyfu3c=",0)</f>
        <v>0</v>
      </c>
      <c r="DQ13" t="e">
        <f>AND('1-5 Vdc'!A12,"AAAAAHyfu3g=")</f>
        <v>#VALUE!</v>
      </c>
      <c r="DR13" t="e">
        <f>AND('1-5 Vdc'!B12,"AAAAAHyfu3k=")</f>
        <v>#VALUE!</v>
      </c>
      <c r="DS13" t="e">
        <f>AND('1-5 Vdc'!C12,"AAAAAHyfu3o=")</f>
        <v>#VALUE!</v>
      </c>
      <c r="DT13" t="e">
        <f>AND('1-5 Vdc'!D12,"AAAAAHyfu3s=")</f>
        <v>#VALUE!</v>
      </c>
      <c r="DU13" t="e">
        <f>AND('1-5 Vdc'!E12,"AAAAAHyfu3w=")</f>
        <v>#VALUE!</v>
      </c>
      <c r="DV13" t="e">
        <f>AND('1-5 Vdc'!F12,"AAAAAHyfu30=")</f>
        <v>#VALUE!</v>
      </c>
      <c r="DW13" t="e">
        <f>AND('1-5 Vdc'!G12,"AAAAAHyfu34=")</f>
        <v>#VALUE!</v>
      </c>
      <c r="DX13" t="e">
        <f>AND('1-5 Vdc'!H12,"AAAAAHyfu38=")</f>
        <v>#VALUE!</v>
      </c>
      <c r="DY13" t="e">
        <f>AND('1-5 Vdc'!I12,"AAAAAHyfu4A=")</f>
        <v>#VALUE!</v>
      </c>
      <c r="DZ13" t="e">
        <f>AND('1-5 Vdc'!J12,"AAAAAHyfu4E=")</f>
        <v>#VALUE!</v>
      </c>
      <c r="EA13">
        <f>IF('1-5 Vdc'!13:13,"AAAAAHyfu4I=",0)</f>
        <v>0</v>
      </c>
      <c r="EB13" t="e">
        <f>AND('1-5 Vdc'!A13,"AAAAAHyfu4M=")</f>
        <v>#VALUE!</v>
      </c>
      <c r="EC13" t="e">
        <f>AND('1-5 Vdc'!B13,"AAAAAHyfu4Q=")</f>
        <v>#VALUE!</v>
      </c>
      <c r="ED13" t="e">
        <f>AND('1-5 Vdc'!C13,"AAAAAHyfu4U=")</f>
        <v>#VALUE!</v>
      </c>
      <c r="EE13" t="e">
        <f>AND('1-5 Vdc'!D13,"AAAAAHyfu4Y=")</f>
        <v>#VALUE!</v>
      </c>
      <c r="EF13" t="e">
        <f>AND('1-5 Vdc'!E13,"AAAAAHyfu4c=")</f>
        <v>#VALUE!</v>
      </c>
      <c r="EG13" t="e">
        <f>AND('1-5 Vdc'!F13,"AAAAAHyfu4g=")</f>
        <v>#VALUE!</v>
      </c>
      <c r="EH13" t="e">
        <f>AND('1-5 Vdc'!G13,"AAAAAHyfu4k=")</f>
        <v>#VALUE!</v>
      </c>
      <c r="EI13" t="e">
        <f>AND('1-5 Vdc'!H13,"AAAAAHyfu4o=")</f>
        <v>#VALUE!</v>
      </c>
      <c r="EJ13" t="e">
        <f>AND('1-5 Vdc'!I13,"AAAAAHyfu4s=")</f>
        <v>#VALUE!</v>
      </c>
      <c r="EK13" t="e">
        <f>AND('1-5 Vdc'!J13,"AAAAAHyfu4w=")</f>
        <v>#VALUE!</v>
      </c>
      <c r="EL13">
        <f>IF('1-5 Vdc'!14:14,"AAAAAHyfu40=",0)</f>
        <v>0</v>
      </c>
      <c r="EM13" t="e">
        <f>AND('1-5 Vdc'!A14,"AAAAAHyfu44=")</f>
        <v>#VALUE!</v>
      </c>
      <c r="EN13" t="e">
        <f>AND('1-5 Vdc'!B14,"AAAAAHyfu48=")</f>
        <v>#VALUE!</v>
      </c>
      <c r="EO13" t="e">
        <f>AND('1-5 Vdc'!C14,"AAAAAHyfu5A=")</f>
        <v>#VALUE!</v>
      </c>
      <c r="EP13" t="e">
        <f>AND('1-5 Vdc'!D14,"AAAAAHyfu5E=")</f>
        <v>#VALUE!</v>
      </c>
      <c r="EQ13" t="e">
        <f>AND('1-5 Vdc'!E14,"AAAAAHyfu5I=")</f>
        <v>#VALUE!</v>
      </c>
      <c r="ER13" t="e">
        <f>AND('1-5 Vdc'!F14,"AAAAAHyfu5M=")</f>
        <v>#VALUE!</v>
      </c>
      <c r="ES13" t="e">
        <f>AND('1-5 Vdc'!G14,"AAAAAHyfu5Q=")</f>
        <v>#VALUE!</v>
      </c>
      <c r="ET13" t="e">
        <f>AND('1-5 Vdc'!H14,"AAAAAHyfu5U=")</f>
        <v>#VALUE!</v>
      </c>
      <c r="EU13" t="e">
        <f>AND('1-5 Vdc'!I14,"AAAAAHyfu5Y=")</f>
        <v>#VALUE!</v>
      </c>
      <c r="EV13" t="e">
        <f>AND('1-5 Vdc'!J14,"AAAAAHyfu5c=")</f>
        <v>#VALUE!</v>
      </c>
      <c r="EW13">
        <f>IF('1-5 Vdc'!15:15,"AAAAAHyfu5g=",0)</f>
        <v>0</v>
      </c>
      <c r="EX13" t="e">
        <f>AND('1-5 Vdc'!A15,"AAAAAHyfu5k=")</f>
        <v>#VALUE!</v>
      </c>
      <c r="EY13" t="e">
        <f>AND('1-5 Vdc'!B15,"AAAAAHyfu5o=")</f>
        <v>#VALUE!</v>
      </c>
      <c r="EZ13" t="e">
        <f>AND('1-5 Vdc'!C15,"AAAAAHyfu5s=")</f>
        <v>#VALUE!</v>
      </c>
      <c r="FA13" t="e">
        <f>AND('1-5 Vdc'!D15,"AAAAAHyfu5w=")</f>
        <v>#VALUE!</v>
      </c>
      <c r="FB13" t="e">
        <f>AND('1-5 Vdc'!E15,"AAAAAHyfu50=")</f>
        <v>#VALUE!</v>
      </c>
      <c r="FC13" t="e">
        <f>AND('1-5 Vdc'!F15,"AAAAAHyfu54=")</f>
        <v>#VALUE!</v>
      </c>
      <c r="FD13" t="e">
        <f>AND('1-5 Vdc'!G15,"AAAAAHyfu58=")</f>
        <v>#VALUE!</v>
      </c>
      <c r="FE13" t="e">
        <f>AND('1-5 Vdc'!H15,"AAAAAHyfu6A=")</f>
        <v>#VALUE!</v>
      </c>
      <c r="FF13" t="e">
        <f>AND('1-5 Vdc'!I15,"AAAAAHyfu6E=")</f>
        <v>#VALUE!</v>
      </c>
      <c r="FG13" t="e">
        <f>AND('1-5 Vdc'!J15,"AAAAAHyfu6I=")</f>
        <v>#VALUE!</v>
      </c>
      <c r="FH13">
        <f>IF('1-5 Vdc'!16:16,"AAAAAHyfu6M=",0)</f>
        <v>0</v>
      </c>
      <c r="FI13" t="e">
        <f>AND('1-5 Vdc'!A16,"AAAAAHyfu6Q=")</f>
        <v>#VALUE!</v>
      </c>
      <c r="FJ13" t="e">
        <f>AND('1-5 Vdc'!B16,"AAAAAHyfu6U=")</f>
        <v>#VALUE!</v>
      </c>
      <c r="FK13" t="e">
        <f>AND('1-5 Vdc'!C16,"AAAAAHyfu6Y=")</f>
        <v>#VALUE!</v>
      </c>
      <c r="FL13" t="e">
        <f>AND('1-5 Vdc'!D16,"AAAAAHyfu6c=")</f>
        <v>#VALUE!</v>
      </c>
      <c r="FM13" t="e">
        <f>AND('1-5 Vdc'!E16,"AAAAAHyfu6g=")</f>
        <v>#VALUE!</v>
      </c>
      <c r="FN13" t="e">
        <f>AND('1-5 Vdc'!F16,"AAAAAHyfu6k=")</f>
        <v>#VALUE!</v>
      </c>
      <c r="FO13" t="e">
        <f>AND('1-5 Vdc'!G16,"AAAAAHyfu6o=")</f>
        <v>#VALUE!</v>
      </c>
      <c r="FP13" t="e">
        <f>AND('1-5 Vdc'!H16,"AAAAAHyfu6s=")</f>
        <v>#VALUE!</v>
      </c>
      <c r="FQ13" t="e">
        <f>AND('1-5 Vdc'!I16,"AAAAAHyfu6w=")</f>
        <v>#VALUE!</v>
      </c>
      <c r="FR13" t="e">
        <f>AND('1-5 Vdc'!J16,"AAAAAHyfu60=")</f>
        <v>#VALUE!</v>
      </c>
      <c r="FS13">
        <f>IF('1-5 Vdc'!17:17,"AAAAAHyfu64=",0)</f>
        <v>0</v>
      </c>
      <c r="FT13" t="e">
        <f>AND('1-5 Vdc'!A17,"AAAAAHyfu68=")</f>
        <v>#VALUE!</v>
      </c>
      <c r="FU13" t="e">
        <f>AND('1-5 Vdc'!B17,"AAAAAHyfu7A=")</f>
        <v>#VALUE!</v>
      </c>
      <c r="FV13" t="e">
        <f>AND('1-5 Vdc'!C17,"AAAAAHyfu7E=")</f>
        <v>#VALUE!</v>
      </c>
      <c r="FW13" t="e">
        <f>AND('1-5 Vdc'!D17,"AAAAAHyfu7I=")</f>
        <v>#VALUE!</v>
      </c>
      <c r="FX13" t="e">
        <f>AND('1-5 Vdc'!E17,"AAAAAHyfu7M=")</f>
        <v>#VALUE!</v>
      </c>
      <c r="FY13" t="e">
        <f>AND('1-5 Vdc'!F17,"AAAAAHyfu7Q=")</f>
        <v>#VALUE!</v>
      </c>
      <c r="FZ13" t="e">
        <f>AND('1-5 Vdc'!G17,"AAAAAHyfu7U=")</f>
        <v>#VALUE!</v>
      </c>
      <c r="GA13" t="e">
        <f>AND('1-5 Vdc'!H17,"AAAAAHyfu7Y=")</f>
        <v>#VALUE!</v>
      </c>
      <c r="GB13" t="e">
        <f>AND('1-5 Vdc'!I17,"AAAAAHyfu7c=")</f>
        <v>#VALUE!</v>
      </c>
      <c r="GC13" t="e">
        <f>AND('1-5 Vdc'!J17,"AAAAAHyfu7g=")</f>
        <v>#VALUE!</v>
      </c>
      <c r="GD13">
        <f>IF('1-5 Vdc'!18:18,"AAAAAHyfu7k=",0)</f>
        <v>0</v>
      </c>
      <c r="GE13" t="e">
        <f>AND('1-5 Vdc'!A18,"AAAAAHyfu7o=")</f>
        <v>#VALUE!</v>
      </c>
      <c r="GF13" t="e">
        <f>AND('1-5 Vdc'!B18,"AAAAAHyfu7s=")</f>
        <v>#VALUE!</v>
      </c>
      <c r="GG13" t="e">
        <f>AND('1-5 Vdc'!C18,"AAAAAHyfu7w=")</f>
        <v>#VALUE!</v>
      </c>
      <c r="GH13" t="e">
        <f>AND('1-5 Vdc'!D18,"AAAAAHyfu70=")</f>
        <v>#VALUE!</v>
      </c>
      <c r="GI13" t="e">
        <f>AND('1-5 Vdc'!E18,"AAAAAHyfu74=")</f>
        <v>#VALUE!</v>
      </c>
      <c r="GJ13" t="e">
        <f>AND('1-5 Vdc'!F18,"AAAAAHyfu78=")</f>
        <v>#VALUE!</v>
      </c>
      <c r="GK13" t="e">
        <f>AND('1-5 Vdc'!G18,"AAAAAHyfu8A=")</f>
        <v>#VALUE!</v>
      </c>
      <c r="GL13" t="e">
        <f>AND('1-5 Vdc'!H18,"AAAAAHyfu8E=")</f>
        <v>#VALUE!</v>
      </c>
      <c r="GM13" t="e">
        <f>AND('1-5 Vdc'!I18,"AAAAAHyfu8I=")</f>
        <v>#VALUE!</v>
      </c>
      <c r="GN13" t="e">
        <f>AND('1-5 Vdc'!J18,"AAAAAHyfu8M=")</f>
        <v>#VALUE!</v>
      </c>
      <c r="GO13">
        <f>IF('1-5 Vdc'!19:19,"AAAAAHyfu8Q=",0)</f>
        <v>0</v>
      </c>
      <c r="GP13" t="e">
        <f>AND('1-5 Vdc'!A19,"AAAAAHyfu8U=")</f>
        <v>#VALUE!</v>
      </c>
      <c r="GQ13" t="e">
        <f>AND('1-5 Vdc'!B19,"AAAAAHyfu8Y=")</f>
        <v>#VALUE!</v>
      </c>
      <c r="GR13" t="e">
        <f>AND('1-5 Vdc'!C19,"AAAAAHyfu8c=")</f>
        <v>#VALUE!</v>
      </c>
      <c r="GS13" t="e">
        <f>AND('1-5 Vdc'!D19,"AAAAAHyfu8g=")</f>
        <v>#VALUE!</v>
      </c>
      <c r="GT13" t="e">
        <f>AND('1-5 Vdc'!E19,"AAAAAHyfu8k=")</f>
        <v>#VALUE!</v>
      </c>
      <c r="GU13" t="e">
        <f>AND('1-5 Vdc'!F19,"AAAAAHyfu8o=")</f>
        <v>#VALUE!</v>
      </c>
      <c r="GV13" t="e">
        <f>AND('1-5 Vdc'!G19,"AAAAAHyfu8s=")</f>
        <v>#VALUE!</v>
      </c>
      <c r="GW13" t="e">
        <f>AND('1-5 Vdc'!H19,"AAAAAHyfu8w=")</f>
        <v>#VALUE!</v>
      </c>
      <c r="GX13" t="e">
        <f>AND('1-5 Vdc'!I19,"AAAAAHyfu80=")</f>
        <v>#VALUE!</v>
      </c>
      <c r="GY13" t="e">
        <f>AND('1-5 Vdc'!J19,"AAAAAHyfu84=")</f>
        <v>#VALUE!</v>
      </c>
      <c r="GZ13">
        <f>IF('1-5 Vdc'!20:20,"AAAAAHyfu88=",0)</f>
        <v>0</v>
      </c>
      <c r="HA13" t="e">
        <f>AND('1-5 Vdc'!A20,"AAAAAHyfu9A=")</f>
        <v>#VALUE!</v>
      </c>
      <c r="HB13" t="e">
        <f>AND('1-5 Vdc'!B20,"AAAAAHyfu9E=")</f>
        <v>#VALUE!</v>
      </c>
      <c r="HC13" t="e">
        <f>AND('1-5 Vdc'!C20,"AAAAAHyfu9I=")</f>
        <v>#VALUE!</v>
      </c>
      <c r="HD13" t="e">
        <f>AND('1-5 Vdc'!D20,"AAAAAHyfu9M=")</f>
        <v>#VALUE!</v>
      </c>
      <c r="HE13" t="e">
        <f>AND('1-5 Vdc'!E20,"AAAAAHyfu9Q=")</f>
        <v>#VALUE!</v>
      </c>
      <c r="HF13" t="e">
        <f>AND('1-5 Vdc'!F20,"AAAAAHyfu9U=")</f>
        <v>#VALUE!</v>
      </c>
      <c r="HG13" t="e">
        <f>AND('1-5 Vdc'!G20,"AAAAAHyfu9Y=")</f>
        <v>#VALUE!</v>
      </c>
      <c r="HH13" t="e">
        <f>AND('1-5 Vdc'!H20,"AAAAAHyfu9c=")</f>
        <v>#VALUE!</v>
      </c>
      <c r="HI13" t="e">
        <f>AND('1-5 Vdc'!I20,"AAAAAHyfu9g=")</f>
        <v>#VALUE!</v>
      </c>
      <c r="HJ13" t="e">
        <f>AND('1-5 Vdc'!J20,"AAAAAHyfu9k=")</f>
        <v>#VALUE!</v>
      </c>
      <c r="HK13">
        <f>IF('1-5 Vdc'!21:21,"AAAAAHyfu9o=",0)</f>
        <v>0</v>
      </c>
      <c r="HL13" t="e">
        <f>AND('1-5 Vdc'!A21,"AAAAAHyfu9s=")</f>
        <v>#VALUE!</v>
      </c>
      <c r="HM13" t="e">
        <f>AND('1-5 Vdc'!B21,"AAAAAHyfu9w=")</f>
        <v>#VALUE!</v>
      </c>
      <c r="HN13" t="e">
        <f>AND('1-5 Vdc'!C21,"AAAAAHyfu90=")</f>
        <v>#VALUE!</v>
      </c>
      <c r="HO13" t="e">
        <f>AND('1-5 Vdc'!D21,"AAAAAHyfu94=")</f>
        <v>#VALUE!</v>
      </c>
      <c r="HP13" t="e">
        <f>AND('1-5 Vdc'!E21,"AAAAAHyfu98=")</f>
        <v>#VALUE!</v>
      </c>
      <c r="HQ13" t="e">
        <f>AND('1-5 Vdc'!F21,"AAAAAHyfu+A=")</f>
        <v>#VALUE!</v>
      </c>
      <c r="HR13" t="e">
        <f>AND('1-5 Vdc'!G21,"AAAAAHyfu+E=")</f>
        <v>#VALUE!</v>
      </c>
      <c r="HS13" t="e">
        <f>AND('1-5 Vdc'!H21,"AAAAAHyfu+I=")</f>
        <v>#VALUE!</v>
      </c>
      <c r="HT13" t="e">
        <f>AND('1-5 Vdc'!I21,"AAAAAHyfu+M=")</f>
        <v>#VALUE!</v>
      </c>
      <c r="HU13" t="e">
        <f>AND('1-5 Vdc'!J21,"AAAAAHyfu+Q=")</f>
        <v>#VALUE!</v>
      </c>
      <c r="HV13">
        <f>IF('1-5 Vdc'!22:22,"AAAAAHyfu+U=",0)</f>
        <v>0</v>
      </c>
      <c r="HW13" t="e">
        <f>AND('1-5 Vdc'!A22,"AAAAAHyfu+Y=")</f>
        <v>#VALUE!</v>
      </c>
      <c r="HX13" t="e">
        <f>AND('1-5 Vdc'!B22,"AAAAAHyfu+c=")</f>
        <v>#VALUE!</v>
      </c>
      <c r="HY13" t="e">
        <f>AND('1-5 Vdc'!C22,"AAAAAHyfu+g=")</f>
        <v>#VALUE!</v>
      </c>
      <c r="HZ13" t="e">
        <f>AND('1-5 Vdc'!D22,"AAAAAHyfu+k=")</f>
        <v>#VALUE!</v>
      </c>
      <c r="IA13" t="e">
        <f>AND('1-5 Vdc'!E22,"AAAAAHyfu+o=")</f>
        <v>#VALUE!</v>
      </c>
      <c r="IB13" t="e">
        <f>AND('1-5 Vdc'!F22,"AAAAAHyfu+s=")</f>
        <v>#VALUE!</v>
      </c>
      <c r="IC13" t="e">
        <f>AND('1-5 Vdc'!G22,"AAAAAHyfu+w=")</f>
        <v>#VALUE!</v>
      </c>
      <c r="ID13" t="e">
        <f>AND('1-5 Vdc'!H22,"AAAAAHyfu+0=")</f>
        <v>#VALUE!</v>
      </c>
      <c r="IE13" t="e">
        <f>AND('1-5 Vdc'!I22,"AAAAAHyfu+4=")</f>
        <v>#VALUE!</v>
      </c>
      <c r="IF13" t="e">
        <f>AND('1-5 Vdc'!J22,"AAAAAHyfu+8=")</f>
        <v>#VALUE!</v>
      </c>
      <c r="IG13">
        <f>IF('1-5 Vdc'!23:23,"AAAAAHyfu/A=",0)</f>
        <v>0</v>
      </c>
      <c r="IH13" t="e">
        <f>AND('1-5 Vdc'!A23,"AAAAAHyfu/E=")</f>
        <v>#VALUE!</v>
      </c>
      <c r="II13" t="e">
        <f>AND('1-5 Vdc'!B23,"AAAAAHyfu/I=")</f>
        <v>#VALUE!</v>
      </c>
      <c r="IJ13" t="e">
        <f>AND('1-5 Vdc'!C23,"AAAAAHyfu/M=")</f>
        <v>#VALUE!</v>
      </c>
      <c r="IK13" t="e">
        <f>AND('1-5 Vdc'!D23,"AAAAAHyfu/Q=")</f>
        <v>#VALUE!</v>
      </c>
      <c r="IL13" t="e">
        <f>AND('1-5 Vdc'!E23,"AAAAAHyfu/U=")</f>
        <v>#VALUE!</v>
      </c>
      <c r="IM13" t="e">
        <f>AND('1-5 Vdc'!F23,"AAAAAHyfu/Y=")</f>
        <v>#VALUE!</v>
      </c>
      <c r="IN13" t="e">
        <f>AND('1-5 Vdc'!G23,"AAAAAHyfu/c=")</f>
        <v>#VALUE!</v>
      </c>
      <c r="IO13" t="e">
        <f>AND('1-5 Vdc'!H23,"AAAAAHyfu/g=")</f>
        <v>#VALUE!</v>
      </c>
      <c r="IP13" t="e">
        <f>AND('1-5 Vdc'!I23,"AAAAAHyfu/k=")</f>
        <v>#VALUE!</v>
      </c>
      <c r="IQ13" t="e">
        <f>AND('1-5 Vdc'!J23,"AAAAAHyfu/o=")</f>
        <v>#VALUE!</v>
      </c>
      <c r="IR13">
        <f>IF('1-5 Vdc'!24:24,"AAAAAHyfu/s=",0)</f>
        <v>0</v>
      </c>
      <c r="IS13" t="e">
        <f>AND('1-5 Vdc'!A24,"AAAAAHyfu/w=")</f>
        <v>#VALUE!</v>
      </c>
      <c r="IT13" t="e">
        <f>AND('1-5 Vdc'!B24,"AAAAAHyfu/0=")</f>
        <v>#VALUE!</v>
      </c>
      <c r="IU13" t="e">
        <f>AND('1-5 Vdc'!C24,"AAAAAHyfu/4=")</f>
        <v>#VALUE!</v>
      </c>
      <c r="IV13" t="e">
        <f>AND('1-5 Vdc'!D24,"AAAAAHyfu/8=")</f>
        <v>#VALUE!</v>
      </c>
    </row>
    <row r="14" spans="1:256">
      <c r="A14" t="e">
        <f>AND('1-5 Vdc'!E24,"AAAAABbPvgA=")</f>
        <v>#VALUE!</v>
      </c>
      <c r="B14" t="e">
        <f>AND('1-5 Vdc'!F24,"AAAAABbPvgE=")</f>
        <v>#VALUE!</v>
      </c>
      <c r="C14" t="e">
        <f>AND('1-5 Vdc'!G24,"AAAAABbPvgI=")</f>
        <v>#VALUE!</v>
      </c>
      <c r="D14" t="e">
        <f>AND('1-5 Vdc'!H24,"AAAAABbPvgM=")</f>
        <v>#VALUE!</v>
      </c>
      <c r="E14" t="e">
        <f>AND('1-5 Vdc'!I24,"AAAAABbPvgQ=")</f>
        <v>#VALUE!</v>
      </c>
      <c r="F14" t="e">
        <f>AND('1-5 Vdc'!J24,"AAAAABbPvgU=")</f>
        <v>#VALUE!</v>
      </c>
      <c r="G14">
        <f>IF('1-5 Vdc'!25:25,"AAAAABbPvgY=",0)</f>
        <v>0</v>
      </c>
      <c r="H14" t="e">
        <f>AND('1-5 Vdc'!A25,"AAAAABbPvgc=")</f>
        <v>#VALUE!</v>
      </c>
      <c r="I14" t="e">
        <f>AND('1-5 Vdc'!B25,"AAAAABbPvgg=")</f>
        <v>#VALUE!</v>
      </c>
      <c r="J14" t="e">
        <f>AND('1-5 Vdc'!C25,"AAAAABbPvgk=")</f>
        <v>#VALUE!</v>
      </c>
      <c r="K14" t="e">
        <f>AND('1-5 Vdc'!D25,"AAAAABbPvgo=")</f>
        <v>#VALUE!</v>
      </c>
      <c r="L14" t="e">
        <f>AND('1-5 Vdc'!E25,"AAAAABbPvgs=")</f>
        <v>#VALUE!</v>
      </c>
      <c r="M14" t="e">
        <f>AND('1-5 Vdc'!F25,"AAAAABbPvgw=")</f>
        <v>#VALUE!</v>
      </c>
      <c r="N14" t="e">
        <f>AND('1-5 Vdc'!G25,"AAAAABbPvg0=")</f>
        <v>#VALUE!</v>
      </c>
      <c r="O14" t="e">
        <f>AND('1-5 Vdc'!H25,"AAAAABbPvg4=")</f>
        <v>#VALUE!</v>
      </c>
      <c r="P14" t="e">
        <f>AND('1-5 Vdc'!I25,"AAAAABbPvg8=")</f>
        <v>#VALUE!</v>
      </c>
      <c r="Q14" t="e">
        <f>AND('1-5 Vdc'!J25,"AAAAABbPvhA=")</f>
        <v>#VALUE!</v>
      </c>
      <c r="R14">
        <f>IF('1-5 Vdc'!26:26,"AAAAABbPvhE=",0)</f>
        <v>0</v>
      </c>
      <c r="S14" t="e">
        <f>AND('1-5 Vdc'!A26,"AAAAABbPvhI=")</f>
        <v>#VALUE!</v>
      </c>
      <c r="T14" t="e">
        <f>AND('1-5 Vdc'!B26,"AAAAABbPvhM=")</f>
        <v>#VALUE!</v>
      </c>
      <c r="U14" t="e">
        <f>AND('1-5 Vdc'!C26,"AAAAABbPvhQ=")</f>
        <v>#VALUE!</v>
      </c>
      <c r="V14" t="e">
        <f>AND('1-5 Vdc'!D26,"AAAAABbPvhU=")</f>
        <v>#VALUE!</v>
      </c>
      <c r="W14" t="e">
        <f>AND('1-5 Vdc'!E26,"AAAAABbPvhY=")</f>
        <v>#VALUE!</v>
      </c>
      <c r="X14" t="e">
        <f>AND('1-5 Vdc'!F26,"AAAAABbPvhc=")</f>
        <v>#VALUE!</v>
      </c>
      <c r="Y14" t="e">
        <f>AND('1-5 Vdc'!G26,"AAAAABbPvhg=")</f>
        <v>#VALUE!</v>
      </c>
      <c r="Z14" t="e">
        <f>AND('1-5 Vdc'!H26,"AAAAABbPvhk=")</f>
        <v>#VALUE!</v>
      </c>
      <c r="AA14" t="e">
        <f>AND('1-5 Vdc'!I26,"AAAAABbPvho=")</f>
        <v>#VALUE!</v>
      </c>
      <c r="AB14" t="e">
        <f>AND('1-5 Vdc'!J26,"AAAAABbPvhs=")</f>
        <v>#VALUE!</v>
      </c>
      <c r="AC14">
        <f>IF('1-5 Vdc'!27:27,"AAAAABbPvhw=",0)</f>
        <v>0</v>
      </c>
      <c r="AD14" t="e">
        <f>AND('1-5 Vdc'!A27,"AAAAABbPvh0=")</f>
        <v>#VALUE!</v>
      </c>
      <c r="AE14" t="e">
        <f>AND('1-5 Vdc'!B27,"AAAAABbPvh4=")</f>
        <v>#VALUE!</v>
      </c>
      <c r="AF14" t="e">
        <f>AND('1-5 Vdc'!C27,"AAAAABbPvh8=")</f>
        <v>#VALUE!</v>
      </c>
      <c r="AG14" t="e">
        <f>AND('1-5 Vdc'!D27,"AAAAABbPviA=")</f>
        <v>#VALUE!</v>
      </c>
      <c r="AH14" t="e">
        <f>AND('1-5 Vdc'!E27,"AAAAABbPviE=")</f>
        <v>#VALUE!</v>
      </c>
      <c r="AI14" t="e">
        <f>AND('1-5 Vdc'!F27,"AAAAABbPviI=")</f>
        <v>#VALUE!</v>
      </c>
      <c r="AJ14" t="e">
        <f>AND('1-5 Vdc'!G27,"AAAAABbPviM=")</f>
        <v>#VALUE!</v>
      </c>
      <c r="AK14" t="e">
        <f>AND('1-5 Vdc'!H27,"AAAAABbPviQ=")</f>
        <v>#VALUE!</v>
      </c>
      <c r="AL14" t="e">
        <f>AND('1-5 Vdc'!I27,"AAAAABbPviU=")</f>
        <v>#VALUE!</v>
      </c>
      <c r="AM14" t="e">
        <f>AND('1-5 Vdc'!J27,"AAAAABbPviY=")</f>
        <v>#VALUE!</v>
      </c>
      <c r="AN14">
        <f>IF('1-5 Vdc'!28:28,"AAAAABbPvic=",0)</f>
        <v>0</v>
      </c>
      <c r="AO14" t="e">
        <f>AND('1-5 Vdc'!A28,"AAAAABbPvig=")</f>
        <v>#VALUE!</v>
      </c>
      <c r="AP14" t="e">
        <f>AND('1-5 Vdc'!B28,"AAAAABbPvik=")</f>
        <v>#VALUE!</v>
      </c>
      <c r="AQ14" t="e">
        <f>AND('1-5 Vdc'!C28,"AAAAABbPvio=")</f>
        <v>#VALUE!</v>
      </c>
      <c r="AR14" t="e">
        <f>AND('1-5 Vdc'!D28,"AAAAABbPvis=")</f>
        <v>#VALUE!</v>
      </c>
      <c r="AS14" t="e">
        <f>AND('1-5 Vdc'!E28,"AAAAABbPviw=")</f>
        <v>#VALUE!</v>
      </c>
      <c r="AT14" t="e">
        <f>AND('1-5 Vdc'!F28,"AAAAABbPvi0=")</f>
        <v>#VALUE!</v>
      </c>
      <c r="AU14" t="e">
        <f>AND('1-5 Vdc'!G28,"AAAAABbPvi4=")</f>
        <v>#VALUE!</v>
      </c>
      <c r="AV14" t="e">
        <f>AND('1-5 Vdc'!H28,"AAAAABbPvi8=")</f>
        <v>#VALUE!</v>
      </c>
      <c r="AW14" t="e">
        <f>AND('1-5 Vdc'!I28,"AAAAABbPvjA=")</f>
        <v>#VALUE!</v>
      </c>
      <c r="AX14" t="e">
        <f>AND('1-5 Vdc'!J28,"AAAAABbPvjE=")</f>
        <v>#VALUE!</v>
      </c>
      <c r="AY14">
        <f>IF('1-5 Vdc'!29:29,"AAAAABbPvjI=",0)</f>
        <v>0</v>
      </c>
      <c r="AZ14" t="e">
        <f>AND('1-5 Vdc'!A29,"AAAAABbPvjM=")</f>
        <v>#VALUE!</v>
      </c>
      <c r="BA14" t="e">
        <f>AND('1-5 Vdc'!B29,"AAAAABbPvjQ=")</f>
        <v>#VALUE!</v>
      </c>
      <c r="BB14" t="e">
        <f>AND('1-5 Vdc'!C29,"AAAAABbPvjU=")</f>
        <v>#VALUE!</v>
      </c>
      <c r="BC14" t="e">
        <f>AND('1-5 Vdc'!D29,"AAAAABbPvjY=")</f>
        <v>#VALUE!</v>
      </c>
      <c r="BD14" t="e">
        <f>AND('1-5 Vdc'!E29,"AAAAABbPvjc=")</f>
        <v>#VALUE!</v>
      </c>
      <c r="BE14" t="e">
        <f>AND('1-5 Vdc'!F29,"AAAAABbPvjg=")</f>
        <v>#VALUE!</v>
      </c>
      <c r="BF14" t="e">
        <f>AND('1-5 Vdc'!G29,"AAAAABbPvjk=")</f>
        <v>#VALUE!</v>
      </c>
      <c r="BG14" t="e">
        <f>AND('1-5 Vdc'!H29,"AAAAABbPvjo=")</f>
        <v>#VALUE!</v>
      </c>
      <c r="BH14" t="e">
        <f>AND('1-5 Vdc'!I29,"AAAAABbPvjs=")</f>
        <v>#VALUE!</v>
      </c>
      <c r="BI14" t="e">
        <f>AND('1-5 Vdc'!J29,"AAAAABbPvjw=")</f>
        <v>#VALUE!</v>
      </c>
      <c r="BJ14">
        <f>IF('1-5 Vdc'!30:30,"AAAAABbPvj0=",0)</f>
        <v>0</v>
      </c>
      <c r="BK14" t="e">
        <f>AND('1-5 Vdc'!A30,"AAAAABbPvj4=")</f>
        <v>#VALUE!</v>
      </c>
      <c r="BL14" t="e">
        <f>AND('1-5 Vdc'!B30,"AAAAABbPvj8=")</f>
        <v>#VALUE!</v>
      </c>
      <c r="BM14" t="e">
        <f>AND('1-5 Vdc'!C30,"AAAAABbPvkA=")</f>
        <v>#VALUE!</v>
      </c>
      <c r="BN14" t="e">
        <f>AND('1-5 Vdc'!D30,"AAAAABbPvkE=")</f>
        <v>#VALUE!</v>
      </c>
      <c r="BO14" t="e">
        <f>AND('1-5 Vdc'!E30,"AAAAABbPvkI=")</f>
        <v>#VALUE!</v>
      </c>
      <c r="BP14" t="e">
        <f>AND('1-5 Vdc'!F30,"AAAAABbPvkM=")</f>
        <v>#VALUE!</v>
      </c>
      <c r="BQ14" t="e">
        <f>AND('1-5 Vdc'!G30,"AAAAABbPvkQ=")</f>
        <v>#VALUE!</v>
      </c>
      <c r="BR14" t="e">
        <f>AND('1-5 Vdc'!H30,"AAAAABbPvkU=")</f>
        <v>#VALUE!</v>
      </c>
      <c r="BS14" t="e">
        <f>AND('1-5 Vdc'!I30,"AAAAABbPvkY=")</f>
        <v>#VALUE!</v>
      </c>
      <c r="BT14" t="e">
        <f>AND('1-5 Vdc'!J30,"AAAAABbPvkc=")</f>
        <v>#VALUE!</v>
      </c>
      <c r="BU14">
        <f>IF('1-5 Vdc'!31:31,"AAAAABbPvkg=",0)</f>
        <v>0</v>
      </c>
      <c r="BV14" t="e">
        <f>AND('1-5 Vdc'!A31,"AAAAABbPvkk=")</f>
        <v>#VALUE!</v>
      </c>
      <c r="BW14" t="e">
        <f>AND('1-5 Vdc'!B31,"AAAAABbPvko=")</f>
        <v>#VALUE!</v>
      </c>
      <c r="BX14" t="e">
        <f>AND('1-5 Vdc'!C31,"AAAAABbPvks=")</f>
        <v>#VALUE!</v>
      </c>
      <c r="BY14" t="e">
        <f>AND('1-5 Vdc'!D31,"AAAAABbPvkw=")</f>
        <v>#VALUE!</v>
      </c>
      <c r="BZ14" t="e">
        <f>AND('1-5 Vdc'!E31,"AAAAABbPvk0=")</f>
        <v>#VALUE!</v>
      </c>
      <c r="CA14" t="e">
        <f>AND('1-5 Vdc'!F31,"AAAAABbPvk4=")</f>
        <v>#VALUE!</v>
      </c>
      <c r="CB14" t="e">
        <f>AND('1-5 Vdc'!G31,"AAAAABbPvk8=")</f>
        <v>#VALUE!</v>
      </c>
      <c r="CC14" t="e">
        <f>AND('1-5 Vdc'!H31,"AAAAABbPvlA=")</f>
        <v>#VALUE!</v>
      </c>
      <c r="CD14" t="e">
        <f>AND('1-5 Vdc'!I31,"AAAAABbPvlE=")</f>
        <v>#VALUE!</v>
      </c>
      <c r="CE14" t="e">
        <f>AND('1-5 Vdc'!J31,"AAAAABbPvlI=")</f>
        <v>#VALUE!</v>
      </c>
      <c r="CF14">
        <f>IF('1-5 Vdc'!32:32,"AAAAABbPvlM=",0)</f>
        <v>0</v>
      </c>
      <c r="CG14" t="e">
        <f>AND('1-5 Vdc'!A32,"AAAAABbPvlQ=")</f>
        <v>#VALUE!</v>
      </c>
      <c r="CH14" t="e">
        <f>AND('1-5 Vdc'!B32,"AAAAABbPvlU=")</f>
        <v>#VALUE!</v>
      </c>
      <c r="CI14" t="e">
        <f>AND('1-5 Vdc'!C32,"AAAAABbPvlY=")</f>
        <v>#VALUE!</v>
      </c>
      <c r="CJ14" t="e">
        <f>AND('1-5 Vdc'!D32,"AAAAABbPvlc=")</f>
        <v>#VALUE!</v>
      </c>
      <c r="CK14" t="e">
        <f>AND('1-5 Vdc'!E32,"AAAAABbPvlg=")</f>
        <v>#VALUE!</v>
      </c>
      <c r="CL14" t="e">
        <f>AND('1-5 Vdc'!F32,"AAAAABbPvlk=")</f>
        <v>#VALUE!</v>
      </c>
      <c r="CM14" t="e">
        <f>AND('1-5 Vdc'!G32,"AAAAABbPvlo=")</f>
        <v>#VALUE!</v>
      </c>
      <c r="CN14" t="e">
        <f>AND('1-5 Vdc'!H32,"AAAAABbPvls=")</f>
        <v>#VALUE!</v>
      </c>
      <c r="CO14" t="e">
        <f>AND('1-5 Vdc'!I32,"AAAAABbPvlw=")</f>
        <v>#VALUE!</v>
      </c>
      <c r="CP14" t="e">
        <f>AND('1-5 Vdc'!J32,"AAAAABbPvl0=")</f>
        <v>#VALUE!</v>
      </c>
      <c r="CQ14">
        <f>IF('1-5 Vdc'!33:33,"AAAAABbPvl4=",0)</f>
        <v>0</v>
      </c>
      <c r="CR14" t="e">
        <f>AND('1-5 Vdc'!A33,"AAAAABbPvl8=")</f>
        <v>#VALUE!</v>
      </c>
      <c r="CS14" t="e">
        <f>AND('1-5 Vdc'!B33,"AAAAABbPvmA=")</f>
        <v>#VALUE!</v>
      </c>
      <c r="CT14" t="e">
        <f>AND('1-5 Vdc'!C33,"AAAAABbPvmE=")</f>
        <v>#VALUE!</v>
      </c>
      <c r="CU14" t="e">
        <f>AND('1-5 Vdc'!D33,"AAAAABbPvmI=")</f>
        <v>#VALUE!</v>
      </c>
      <c r="CV14" t="e">
        <f>AND('1-5 Vdc'!E33,"AAAAABbPvmM=")</f>
        <v>#VALUE!</v>
      </c>
      <c r="CW14" t="e">
        <f>AND('1-5 Vdc'!F33,"AAAAABbPvmQ=")</f>
        <v>#VALUE!</v>
      </c>
      <c r="CX14" t="e">
        <f>AND('1-5 Vdc'!G33,"AAAAABbPvmU=")</f>
        <v>#VALUE!</v>
      </c>
      <c r="CY14" t="e">
        <f>AND('1-5 Vdc'!H33,"AAAAABbPvmY=")</f>
        <v>#VALUE!</v>
      </c>
      <c r="CZ14" t="e">
        <f>AND('1-5 Vdc'!I33,"AAAAABbPvmc=")</f>
        <v>#VALUE!</v>
      </c>
      <c r="DA14" t="e">
        <f>AND('1-5 Vdc'!J33,"AAAAABbPvmg=")</f>
        <v>#VALUE!</v>
      </c>
      <c r="DB14">
        <f>IF('1-5 Vdc'!34:34,"AAAAABbPvmk=",0)</f>
        <v>0</v>
      </c>
      <c r="DC14" t="e">
        <f>AND('1-5 Vdc'!A34,"AAAAABbPvmo=")</f>
        <v>#VALUE!</v>
      </c>
      <c r="DD14" t="e">
        <f>AND('1-5 Vdc'!B34,"AAAAABbPvms=")</f>
        <v>#VALUE!</v>
      </c>
      <c r="DE14" t="e">
        <f>AND('1-5 Vdc'!C34,"AAAAABbPvmw=")</f>
        <v>#VALUE!</v>
      </c>
      <c r="DF14" t="e">
        <f>AND('1-5 Vdc'!D34,"AAAAABbPvm0=")</f>
        <v>#VALUE!</v>
      </c>
      <c r="DG14" t="e">
        <f>AND('1-5 Vdc'!E34,"AAAAABbPvm4=")</f>
        <v>#VALUE!</v>
      </c>
      <c r="DH14" t="e">
        <f>AND('1-5 Vdc'!F34,"AAAAABbPvm8=")</f>
        <v>#VALUE!</v>
      </c>
      <c r="DI14" t="e">
        <f>AND('1-5 Vdc'!G34,"AAAAABbPvnA=")</f>
        <v>#VALUE!</v>
      </c>
      <c r="DJ14" t="e">
        <f>AND('1-5 Vdc'!H34,"AAAAABbPvnE=")</f>
        <v>#VALUE!</v>
      </c>
      <c r="DK14" t="e">
        <f>AND('1-5 Vdc'!I34,"AAAAABbPvnI=")</f>
        <v>#VALUE!</v>
      </c>
      <c r="DL14" t="e">
        <f>AND('1-5 Vdc'!J34,"AAAAABbPvnM=")</f>
        <v>#VALUE!</v>
      </c>
      <c r="DM14">
        <f>IF('1-5 Vdc'!35:35,"AAAAABbPvnQ=",0)</f>
        <v>0</v>
      </c>
      <c r="DN14" t="e">
        <f>AND('1-5 Vdc'!A35,"AAAAABbPvnU=")</f>
        <v>#VALUE!</v>
      </c>
      <c r="DO14" t="e">
        <f>AND('1-5 Vdc'!B35,"AAAAABbPvnY=")</f>
        <v>#VALUE!</v>
      </c>
      <c r="DP14" t="e">
        <f>AND('1-5 Vdc'!C35,"AAAAABbPvnc=")</f>
        <v>#VALUE!</v>
      </c>
      <c r="DQ14" t="e">
        <f>AND('1-5 Vdc'!D35,"AAAAABbPvng=")</f>
        <v>#VALUE!</v>
      </c>
      <c r="DR14" t="e">
        <f>AND('1-5 Vdc'!E35,"AAAAABbPvnk=")</f>
        <v>#VALUE!</v>
      </c>
      <c r="DS14" t="e">
        <f>AND('1-5 Vdc'!F35,"AAAAABbPvno=")</f>
        <v>#VALUE!</v>
      </c>
      <c r="DT14" t="e">
        <f>AND('1-5 Vdc'!G35,"AAAAABbPvns=")</f>
        <v>#VALUE!</v>
      </c>
      <c r="DU14" t="e">
        <f>AND('1-5 Vdc'!H35,"AAAAABbPvnw=")</f>
        <v>#VALUE!</v>
      </c>
      <c r="DV14" t="e">
        <f>AND('1-5 Vdc'!I35,"AAAAABbPvn0=")</f>
        <v>#VALUE!</v>
      </c>
      <c r="DW14" t="e">
        <f>AND('1-5 Vdc'!J35,"AAAAABbPvn4=")</f>
        <v>#VALUE!</v>
      </c>
      <c r="DX14">
        <f>IF('1-5 Vdc'!B:B,"AAAAABbPvn8=",0)</f>
        <v>0</v>
      </c>
      <c r="DY14">
        <f>IF('1-5 Vdc'!C:C,"AAAAABbPvoA=",0)</f>
        <v>0</v>
      </c>
      <c r="DZ14">
        <f>IF('1-5 Vdc'!D:D,"AAAAABbPvoE=",0)</f>
        <v>0</v>
      </c>
      <c r="EA14">
        <f>IF('1-5 Vdc'!E:E,"AAAAABbPvoI=",0)</f>
        <v>0</v>
      </c>
      <c r="EB14">
        <f>IF('1-5 Vdc'!F:F,"AAAAABbPvoM=",0)</f>
        <v>0</v>
      </c>
      <c r="EC14">
        <f>IF('1-5 Vdc'!G:G,"AAAAABbPvoQ=",0)</f>
        <v>0</v>
      </c>
      <c r="ED14">
        <f>IF('1-5 Vdc'!H:H,"AAAAABbPvoU=",0)</f>
        <v>0</v>
      </c>
      <c r="EE14">
        <f>IF('1-5 Vdc'!I:I,"AAAAABbPvoY=",0)</f>
        <v>0</v>
      </c>
      <c r="EF14">
        <f>IF('1-5 Vdc'!J:J,"AAAAABbPvoc=",0)</f>
        <v>0</v>
      </c>
      <c r="EG14">
        <f>IF('3-15 PSI'!1:1,"AAAAABbPvog=",0)</f>
        <v>0</v>
      </c>
      <c r="EH14" t="e">
        <f>AND('3-15 PSI'!A1,"AAAAABbPvok=")</f>
        <v>#VALUE!</v>
      </c>
      <c r="EI14" t="e">
        <f>AND('3-15 PSI'!B1,"AAAAABbPvoo=")</f>
        <v>#VALUE!</v>
      </c>
      <c r="EJ14" t="e">
        <f>AND('3-15 PSI'!C1,"AAAAABbPvos=")</f>
        <v>#VALUE!</v>
      </c>
      <c r="EK14" t="e">
        <f>AND('3-15 PSI'!D1,"AAAAABbPvow=")</f>
        <v>#VALUE!</v>
      </c>
      <c r="EL14" t="e">
        <f>AND('3-15 PSI'!E1,"AAAAABbPvo0=")</f>
        <v>#VALUE!</v>
      </c>
      <c r="EM14" t="e">
        <f>AND('3-15 PSI'!F1,"AAAAABbPvo4=")</f>
        <v>#VALUE!</v>
      </c>
      <c r="EN14" t="e">
        <f>AND('3-15 PSI'!G1,"AAAAABbPvo8=")</f>
        <v>#VALUE!</v>
      </c>
      <c r="EO14" t="e">
        <f>AND('3-15 PSI'!H1,"AAAAABbPvpA=")</f>
        <v>#VALUE!</v>
      </c>
      <c r="EP14" t="e">
        <f>AND('3-15 PSI'!I1,"AAAAABbPvpE=")</f>
        <v>#VALUE!</v>
      </c>
      <c r="EQ14" t="e">
        <f>AND('3-15 PSI'!J1,"AAAAABbPvpI=")</f>
        <v>#VALUE!</v>
      </c>
      <c r="ER14">
        <f>IF('3-15 PSI'!2:2,"AAAAABbPvpM=",0)</f>
        <v>0</v>
      </c>
      <c r="ES14" t="e">
        <f>AND('3-15 PSI'!A2,"AAAAABbPvpQ=")</f>
        <v>#VALUE!</v>
      </c>
      <c r="ET14" t="e">
        <f>AND('3-15 PSI'!B2,"AAAAABbPvpU=")</f>
        <v>#VALUE!</v>
      </c>
      <c r="EU14" t="e">
        <f>AND('3-15 PSI'!C2,"AAAAABbPvpY=")</f>
        <v>#VALUE!</v>
      </c>
      <c r="EV14" t="e">
        <f>AND('3-15 PSI'!D2,"AAAAABbPvpc=")</f>
        <v>#VALUE!</v>
      </c>
      <c r="EW14" t="e">
        <f>AND('3-15 PSI'!E2,"AAAAABbPvpg=")</f>
        <v>#VALUE!</v>
      </c>
      <c r="EX14" t="e">
        <f>AND('3-15 PSI'!F2,"AAAAABbPvpk=")</f>
        <v>#VALUE!</v>
      </c>
      <c r="EY14" t="e">
        <f>AND('3-15 PSI'!G2,"AAAAABbPvpo=")</f>
        <v>#VALUE!</v>
      </c>
      <c r="EZ14" t="e">
        <f>AND('3-15 PSI'!H2,"AAAAABbPvps=")</f>
        <v>#VALUE!</v>
      </c>
      <c r="FA14" t="e">
        <f>AND('3-15 PSI'!I2,"AAAAABbPvpw=")</f>
        <v>#VALUE!</v>
      </c>
      <c r="FB14" t="e">
        <f>AND('3-15 PSI'!J2,"AAAAABbPvp0=")</f>
        <v>#VALUE!</v>
      </c>
      <c r="FC14">
        <f>IF('3-15 PSI'!3:3,"AAAAABbPvp4=",0)</f>
        <v>0</v>
      </c>
      <c r="FD14" t="e">
        <f>AND('3-15 PSI'!A3,"AAAAABbPvp8=")</f>
        <v>#VALUE!</v>
      </c>
      <c r="FE14" t="e">
        <f>AND('3-15 PSI'!B3,"AAAAABbPvqA=")</f>
        <v>#VALUE!</v>
      </c>
      <c r="FF14" t="e">
        <f>AND('3-15 PSI'!C3,"AAAAABbPvqE=")</f>
        <v>#VALUE!</v>
      </c>
      <c r="FG14" t="e">
        <f>AND('3-15 PSI'!D3,"AAAAABbPvqI=")</f>
        <v>#VALUE!</v>
      </c>
      <c r="FH14" t="e">
        <f>AND('3-15 PSI'!E3,"AAAAABbPvqM=")</f>
        <v>#VALUE!</v>
      </c>
      <c r="FI14" t="e">
        <f>AND('3-15 PSI'!F3,"AAAAABbPvqQ=")</f>
        <v>#VALUE!</v>
      </c>
      <c r="FJ14" t="e">
        <f>AND('3-15 PSI'!G3,"AAAAABbPvqU=")</f>
        <v>#VALUE!</v>
      </c>
      <c r="FK14" t="e">
        <f>AND('3-15 PSI'!H3,"AAAAABbPvqY=")</f>
        <v>#VALUE!</v>
      </c>
      <c r="FL14" t="e">
        <f>AND('3-15 PSI'!I3,"AAAAABbPvqc=")</f>
        <v>#VALUE!</v>
      </c>
      <c r="FM14" t="e">
        <f>AND('3-15 PSI'!J3,"AAAAABbPvqg=")</f>
        <v>#VALUE!</v>
      </c>
      <c r="FN14">
        <f>IF('3-15 PSI'!4:4,"AAAAABbPvqk=",0)</f>
        <v>0</v>
      </c>
      <c r="FO14" t="e">
        <f>AND('3-15 PSI'!A4,"AAAAABbPvqo=")</f>
        <v>#VALUE!</v>
      </c>
      <c r="FP14" t="e">
        <f>AND('3-15 PSI'!B4,"AAAAABbPvqs=")</f>
        <v>#VALUE!</v>
      </c>
      <c r="FQ14" t="e">
        <f>AND('3-15 PSI'!C4,"AAAAABbPvqw=")</f>
        <v>#VALUE!</v>
      </c>
      <c r="FR14" t="e">
        <f>AND('3-15 PSI'!D4,"AAAAABbPvq0=")</f>
        <v>#VALUE!</v>
      </c>
      <c r="FS14" t="e">
        <f>AND('3-15 PSI'!E4,"AAAAABbPvq4=")</f>
        <v>#VALUE!</v>
      </c>
      <c r="FT14" t="e">
        <f>AND('3-15 PSI'!F4,"AAAAABbPvq8=")</f>
        <v>#VALUE!</v>
      </c>
      <c r="FU14" t="e">
        <f>AND('3-15 PSI'!G4,"AAAAABbPvrA=")</f>
        <v>#VALUE!</v>
      </c>
      <c r="FV14" t="e">
        <f>AND('3-15 PSI'!H4,"AAAAABbPvrE=")</f>
        <v>#VALUE!</v>
      </c>
      <c r="FW14" t="e">
        <f>AND('3-15 PSI'!I4,"AAAAABbPvrI=")</f>
        <v>#VALUE!</v>
      </c>
      <c r="FX14" t="e">
        <f>AND('3-15 PSI'!J4,"AAAAABbPvrM=")</f>
        <v>#VALUE!</v>
      </c>
      <c r="FY14">
        <f>IF('3-15 PSI'!5:5,"AAAAABbPvrQ=",0)</f>
        <v>0</v>
      </c>
      <c r="FZ14" t="e">
        <f>AND('3-15 PSI'!A5,"AAAAABbPvrU=")</f>
        <v>#VALUE!</v>
      </c>
      <c r="GA14" t="e">
        <f>AND('3-15 PSI'!B5,"AAAAABbPvrY=")</f>
        <v>#VALUE!</v>
      </c>
      <c r="GB14" t="e">
        <f>AND('3-15 PSI'!C5,"AAAAABbPvrc=")</f>
        <v>#VALUE!</v>
      </c>
      <c r="GC14" t="e">
        <f>AND('3-15 PSI'!D5,"AAAAABbPvrg=")</f>
        <v>#VALUE!</v>
      </c>
      <c r="GD14" t="e">
        <f>AND('3-15 PSI'!E5,"AAAAABbPvrk=")</f>
        <v>#VALUE!</v>
      </c>
      <c r="GE14" t="e">
        <f>AND('3-15 PSI'!F5,"AAAAABbPvro=")</f>
        <v>#VALUE!</v>
      </c>
      <c r="GF14" t="e">
        <f>AND('3-15 PSI'!G5,"AAAAABbPvrs=")</f>
        <v>#VALUE!</v>
      </c>
      <c r="GG14" t="e">
        <f>AND('3-15 PSI'!H5,"AAAAABbPvrw=")</f>
        <v>#VALUE!</v>
      </c>
      <c r="GH14" t="e">
        <f>AND('3-15 PSI'!I5,"AAAAABbPvr0=")</f>
        <v>#VALUE!</v>
      </c>
      <c r="GI14" t="e">
        <f>AND('3-15 PSI'!J5,"AAAAABbPvr4=")</f>
        <v>#VALUE!</v>
      </c>
      <c r="GJ14">
        <f>IF('3-15 PSI'!6:6,"AAAAABbPvr8=",0)</f>
        <v>0</v>
      </c>
      <c r="GK14" t="e">
        <f>AND('3-15 PSI'!A6,"AAAAABbPvsA=")</f>
        <v>#VALUE!</v>
      </c>
      <c r="GL14" t="e">
        <f>AND('3-15 PSI'!B6,"AAAAABbPvsE=")</f>
        <v>#VALUE!</v>
      </c>
      <c r="GM14" t="e">
        <f>AND('3-15 PSI'!C6,"AAAAABbPvsI=")</f>
        <v>#VALUE!</v>
      </c>
      <c r="GN14" t="e">
        <f>AND('3-15 PSI'!D6,"AAAAABbPvsM=")</f>
        <v>#VALUE!</v>
      </c>
      <c r="GO14" t="e">
        <f>AND('3-15 PSI'!E6,"AAAAABbPvsQ=")</f>
        <v>#VALUE!</v>
      </c>
      <c r="GP14" t="e">
        <f>AND('3-15 PSI'!F6,"AAAAABbPvsU=")</f>
        <v>#VALUE!</v>
      </c>
      <c r="GQ14" t="e">
        <f>AND('3-15 PSI'!G6,"AAAAABbPvsY=")</f>
        <v>#VALUE!</v>
      </c>
      <c r="GR14" t="e">
        <f>AND('3-15 PSI'!H6,"AAAAABbPvsc=")</f>
        <v>#VALUE!</v>
      </c>
      <c r="GS14" t="e">
        <f>AND('3-15 PSI'!I6,"AAAAABbPvsg=")</f>
        <v>#VALUE!</v>
      </c>
      <c r="GT14" t="e">
        <f>AND('3-15 PSI'!J6,"AAAAABbPvsk=")</f>
        <v>#VALUE!</v>
      </c>
      <c r="GU14">
        <f>IF('3-15 PSI'!7:7,"AAAAABbPvso=",0)</f>
        <v>0</v>
      </c>
      <c r="GV14" t="e">
        <f>AND('3-15 PSI'!A7,"AAAAABbPvss=")</f>
        <v>#VALUE!</v>
      </c>
      <c r="GW14" t="e">
        <f>AND('3-15 PSI'!B7,"AAAAABbPvsw=")</f>
        <v>#VALUE!</v>
      </c>
      <c r="GX14" t="e">
        <f>AND('3-15 PSI'!C7,"AAAAABbPvs0=")</f>
        <v>#VALUE!</v>
      </c>
      <c r="GY14" t="e">
        <f>AND('3-15 PSI'!D7,"AAAAABbPvs4=")</f>
        <v>#VALUE!</v>
      </c>
      <c r="GZ14" t="e">
        <f>AND('3-15 PSI'!E7,"AAAAABbPvs8=")</f>
        <v>#VALUE!</v>
      </c>
      <c r="HA14" t="e">
        <f>AND('3-15 PSI'!F7,"AAAAABbPvtA=")</f>
        <v>#VALUE!</v>
      </c>
      <c r="HB14" t="e">
        <f>AND('3-15 PSI'!G7,"AAAAABbPvtE=")</f>
        <v>#VALUE!</v>
      </c>
      <c r="HC14" t="e">
        <f>AND('3-15 PSI'!H7,"AAAAABbPvtI=")</f>
        <v>#VALUE!</v>
      </c>
      <c r="HD14" t="e">
        <f>AND('3-15 PSI'!I7,"AAAAABbPvtM=")</f>
        <v>#VALUE!</v>
      </c>
      <c r="HE14" t="e">
        <f>AND('3-15 PSI'!J7,"AAAAABbPvtQ=")</f>
        <v>#VALUE!</v>
      </c>
      <c r="HF14">
        <f>IF('3-15 PSI'!8:8,"AAAAABbPvtU=",0)</f>
        <v>0</v>
      </c>
      <c r="HG14" t="e">
        <f>AND('3-15 PSI'!#REF!,"AAAAABbPvtY=")</f>
        <v>#REF!</v>
      </c>
      <c r="HH14" t="e">
        <f>AND('3-15 PSI'!A8,"AAAAABbPvtc=")</f>
        <v>#VALUE!</v>
      </c>
      <c r="HI14" t="e">
        <f>AND('3-15 PSI'!C8,"AAAAABbPvtg=")</f>
        <v>#VALUE!</v>
      </c>
      <c r="HJ14" t="e">
        <f>AND('3-15 PSI'!D8,"AAAAABbPvtk=")</f>
        <v>#VALUE!</v>
      </c>
      <c r="HK14" t="e">
        <f>AND('3-15 PSI'!E8,"AAAAABbPvto=")</f>
        <v>#VALUE!</v>
      </c>
      <c r="HL14" t="e">
        <f>AND('3-15 PSI'!F8,"AAAAABbPvts=")</f>
        <v>#VALUE!</v>
      </c>
      <c r="HM14" t="e">
        <f>AND('3-15 PSI'!G8,"AAAAABbPvtw=")</f>
        <v>#VALUE!</v>
      </c>
      <c r="HN14" t="e">
        <f>AND('3-15 PSI'!H8,"AAAAABbPvt0=")</f>
        <v>#VALUE!</v>
      </c>
      <c r="HO14" t="e">
        <f>AND('3-15 PSI'!I8,"AAAAABbPvt4=")</f>
        <v>#VALUE!</v>
      </c>
      <c r="HP14" t="e">
        <f>AND('3-15 PSI'!J8,"AAAAABbPvt8=")</f>
        <v>#VALUE!</v>
      </c>
      <c r="HQ14">
        <f>IF('3-15 PSI'!9:9,"AAAAABbPvuA=",0)</f>
        <v>0</v>
      </c>
      <c r="HR14" t="e">
        <f>AND('3-15 PSI'!A9,"AAAAABbPvuE=")</f>
        <v>#VALUE!</v>
      </c>
      <c r="HS14" t="e">
        <f>AND('3-15 PSI'!#REF!,"AAAAABbPvuI=")</f>
        <v>#REF!</v>
      </c>
      <c r="HT14" t="e">
        <f>AND('3-15 PSI'!C9,"AAAAABbPvuM=")</f>
        <v>#VALUE!</v>
      </c>
      <c r="HU14" t="e">
        <f>AND('3-15 PSI'!D9,"AAAAABbPvuQ=")</f>
        <v>#VALUE!</v>
      </c>
      <c r="HV14" t="e">
        <f>AND('3-15 PSI'!E9,"AAAAABbPvuU=")</f>
        <v>#VALUE!</v>
      </c>
      <c r="HW14" t="e">
        <f>AND('3-15 PSI'!F9,"AAAAABbPvuY=")</f>
        <v>#VALUE!</v>
      </c>
      <c r="HX14" t="e">
        <f>AND('3-15 PSI'!G9,"AAAAABbPvuc=")</f>
        <v>#VALUE!</v>
      </c>
      <c r="HY14" t="e">
        <f>AND('3-15 PSI'!H9,"AAAAABbPvug=")</f>
        <v>#VALUE!</v>
      </c>
      <c r="HZ14" t="e">
        <f>AND('3-15 PSI'!I9,"AAAAABbPvuk=")</f>
        <v>#VALUE!</v>
      </c>
      <c r="IA14" t="e">
        <f>AND('3-15 PSI'!J9,"AAAAABbPvuo=")</f>
        <v>#VALUE!</v>
      </c>
      <c r="IB14">
        <f>IF('3-15 PSI'!10:10,"AAAAABbPvus=",0)</f>
        <v>0</v>
      </c>
      <c r="IC14" t="e">
        <f>AND('3-15 PSI'!A10,"AAAAABbPvuw=")</f>
        <v>#VALUE!</v>
      </c>
      <c r="ID14" t="e">
        <f>AND('3-15 PSI'!B10,"AAAAABbPvu0=")</f>
        <v>#VALUE!</v>
      </c>
      <c r="IE14" t="e">
        <f>AND('3-15 PSI'!C10,"AAAAABbPvu4=")</f>
        <v>#VALUE!</v>
      </c>
      <c r="IF14" t="e">
        <f>AND('3-15 PSI'!D10,"AAAAABbPvu8=")</f>
        <v>#VALUE!</v>
      </c>
      <c r="IG14" t="e">
        <f>AND('3-15 PSI'!E10,"AAAAABbPvvA=")</f>
        <v>#VALUE!</v>
      </c>
      <c r="IH14" t="e">
        <f>AND('3-15 PSI'!F10,"AAAAABbPvvE=")</f>
        <v>#VALUE!</v>
      </c>
      <c r="II14" t="e">
        <f>AND('3-15 PSI'!G10,"AAAAABbPvvI=")</f>
        <v>#VALUE!</v>
      </c>
      <c r="IJ14" t="e">
        <f>AND('3-15 PSI'!H10,"AAAAABbPvvM=")</f>
        <v>#VALUE!</v>
      </c>
      <c r="IK14" t="e">
        <f>AND('3-15 PSI'!I10,"AAAAABbPvvQ=")</f>
        <v>#VALUE!</v>
      </c>
      <c r="IL14" t="e">
        <f>AND('3-15 PSI'!J10,"AAAAABbPvvU=")</f>
        <v>#VALUE!</v>
      </c>
      <c r="IM14">
        <f>IF('3-15 PSI'!11:11,"AAAAABbPvvY=",0)</f>
        <v>0</v>
      </c>
      <c r="IN14" t="e">
        <f>AND('3-15 PSI'!A11,"AAAAABbPvvc=")</f>
        <v>#VALUE!</v>
      </c>
      <c r="IO14" t="e">
        <f>AND('3-15 PSI'!B11,"AAAAABbPvvg=")</f>
        <v>#VALUE!</v>
      </c>
      <c r="IP14" t="e">
        <f>AND('3-15 PSI'!C11,"AAAAABbPvvk=")</f>
        <v>#VALUE!</v>
      </c>
      <c r="IQ14" t="e">
        <f>AND('3-15 PSI'!D11,"AAAAABbPvvo=")</f>
        <v>#VALUE!</v>
      </c>
      <c r="IR14" t="e">
        <f>AND('3-15 PSI'!E11,"AAAAABbPvvs=")</f>
        <v>#VALUE!</v>
      </c>
      <c r="IS14" t="e">
        <f>AND('3-15 PSI'!F11,"AAAAABbPvvw=")</f>
        <v>#VALUE!</v>
      </c>
      <c r="IT14" t="e">
        <f>AND('3-15 PSI'!G11,"AAAAABbPvv0=")</f>
        <v>#VALUE!</v>
      </c>
      <c r="IU14" t="e">
        <f>AND('3-15 PSI'!H11,"AAAAABbPvv4=")</f>
        <v>#VALUE!</v>
      </c>
      <c r="IV14" t="e">
        <f>AND('3-15 PSI'!I11,"AAAAABbPvv8=")</f>
        <v>#VALUE!</v>
      </c>
    </row>
    <row r="15" spans="1:256">
      <c r="A15" t="e">
        <f>AND('3-15 PSI'!J11,"AAAAAFv77QA=")</f>
        <v>#VALUE!</v>
      </c>
      <c r="B15">
        <f>IF('3-15 PSI'!12:12,"AAAAAFv77QE=",0)</f>
        <v>0</v>
      </c>
      <c r="C15" t="e">
        <f>AND('3-15 PSI'!A12,"AAAAAFv77QI=")</f>
        <v>#VALUE!</v>
      </c>
      <c r="D15" t="e">
        <f>AND('3-15 PSI'!B12,"AAAAAFv77QM=")</f>
        <v>#VALUE!</v>
      </c>
      <c r="E15" t="e">
        <f>AND('3-15 PSI'!C12,"AAAAAFv77QQ=")</f>
        <v>#VALUE!</v>
      </c>
      <c r="F15" t="e">
        <f>AND('3-15 PSI'!D12,"AAAAAFv77QU=")</f>
        <v>#VALUE!</v>
      </c>
      <c r="G15" t="e">
        <f>AND('3-15 PSI'!E12,"AAAAAFv77QY=")</f>
        <v>#VALUE!</v>
      </c>
      <c r="H15" t="e">
        <f>AND('3-15 PSI'!F12,"AAAAAFv77Qc=")</f>
        <v>#VALUE!</v>
      </c>
      <c r="I15" t="e">
        <f>AND('3-15 PSI'!G12,"AAAAAFv77Qg=")</f>
        <v>#VALUE!</v>
      </c>
      <c r="J15" t="e">
        <f>AND('3-15 PSI'!H12,"AAAAAFv77Qk=")</f>
        <v>#VALUE!</v>
      </c>
      <c r="K15" t="e">
        <f>AND('3-15 PSI'!I12,"AAAAAFv77Qo=")</f>
        <v>#VALUE!</v>
      </c>
      <c r="L15" t="e">
        <f>AND('3-15 PSI'!J12,"AAAAAFv77Qs=")</f>
        <v>#VALUE!</v>
      </c>
      <c r="M15">
        <f>IF('3-15 PSI'!13:13,"AAAAAFv77Qw=",0)</f>
        <v>0</v>
      </c>
      <c r="N15" t="e">
        <f>AND('3-15 PSI'!A13,"AAAAAFv77Q0=")</f>
        <v>#VALUE!</v>
      </c>
      <c r="O15" t="e">
        <f>AND('3-15 PSI'!B13,"AAAAAFv77Q4=")</f>
        <v>#VALUE!</v>
      </c>
      <c r="P15" t="e">
        <f>AND('3-15 PSI'!C13,"AAAAAFv77Q8=")</f>
        <v>#VALUE!</v>
      </c>
      <c r="Q15" t="e">
        <f>AND('3-15 PSI'!D13,"AAAAAFv77RA=")</f>
        <v>#VALUE!</v>
      </c>
      <c r="R15" t="e">
        <f>AND('3-15 PSI'!E13,"AAAAAFv77RE=")</f>
        <v>#VALUE!</v>
      </c>
      <c r="S15" t="e">
        <f>AND('3-15 PSI'!F13,"AAAAAFv77RI=")</f>
        <v>#VALUE!</v>
      </c>
      <c r="T15" t="e">
        <f>AND('3-15 PSI'!G13,"AAAAAFv77RM=")</f>
        <v>#VALUE!</v>
      </c>
      <c r="U15" t="e">
        <f>AND('3-15 PSI'!H13,"AAAAAFv77RQ=")</f>
        <v>#VALUE!</v>
      </c>
      <c r="V15" t="e">
        <f>AND('3-15 PSI'!I13,"AAAAAFv77RU=")</f>
        <v>#VALUE!</v>
      </c>
      <c r="W15" t="e">
        <f>AND('3-15 PSI'!J13,"AAAAAFv77RY=")</f>
        <v>#VALUE!</v>
      </c>
      <c r="X15">
        <f>IF('3-15 PSI'!14:14,"AAAAAFv77Rc=",0)</f>
        <v>0</v>
      </c>
      <c r="Y15" t="e">
        <f>AND('3-15 PSI'!A14,"AAAAAFv77Rg=")</f>
        <v>#VALUE!</v>
      </c>
      <c r="Z15" t="e">
        <f>AND('3-15 PSI'!B14,"AAAAAFv77Rk=")</f>
        <v>#VALUE!</v>
      </c>
      <c r="AA15" t="e">
        <f>AND('3-15 PSI'!C14,"AAAAAFv77Ro=")</f>
        <v>#VALUE!</v>
      </c>
      <c r="AB15" t="e">
        <f>AND('3-15 PSI'!D14,"AAAAAFv77Rs=")</f>
        <v>#VALUE!</v>
      </c>
      <c r="AC15" t="e">
        <f>AND('3-15 PSI'!E14,"AAAAAFv77Rw=")</f>
        <v>#VALUE!</v>
      </c>
      <c r="AD15" t="e">
        <f>AND('3-15 PSI'!F14,"AAAAAFv77R0=")</f>
        <v>#VALUE!</v>
      </c>
      <c r="AE15" t="e">
        <f>AND('3-15 PSI'!G14,"AAAAAFv77R4=")</f>
        <v>#VALUE!</v>
      </c>
      <c r="AF15" t="e">
        <f>AND('3-15 PSI'!H14,"AAAAAFv77R8=")</f>
        <v>#VALUE!</v>
      </c>
      <c r="AG15" t="e">
        <f>AND('3-15 PSI'!I14,"AAAAAFv77SA=")</f>
        <v>#VALUE!</v>
      </c>
      <c r="AH15" t="e">
        <f>AND('3-15 PSI'!J14,"AAAAAFv77SE=")</f>
        <v>#VALUE!</v>
      </c>
      <c r="AI15">
        <f>IF('3-15 PSI'!15:15,"AAAAAFv77SI=",0)</f>
        <v>0</v>
      </c>
      <c r="AJ15" t="e">
        <f>AND('3-15 PSI'!A15,"AAAAAFv77SM=")</f>
        <v>#VALUE!</v>
      </c>
      <c r="AK15" t="e">
        <f>AND('3-15 PSI'!B15,"AAAAAFv77SQ=")</f>
        <v>#VALUE!</v>
      </c>
      <c r="AL15" t="e">
        <f>AND('3-15 PSI'!C15,"AAAAAFv77SU=")</f>
        <v>#VALUE!</v>
      </c>
      <c r="AM15" t="e">
        <f>AND('3-15 PSI'!D15,"AAAAAFv77SY=")</f>
        <v>#VALUE!</v>
      </c>
      <c r="AN15" t="e">
        <f>AND('3-15 PSI'!E15,"AAAAAFv77Sc=")</f>
        <v>#VALUE!</v>
      </c>
      <c r="AO15" t="e">
        <f>AND('3-15 PSI'!F15,"AAAAAFv77Sg=")</f>
        <v>#VALUE!</v>
      </c>
      <c r="AP15" t="e">
        <f>AND('3-15 PSI'!G15,"AAAAAFv77Sk=")</f>
        <v>#VALUE!</v>
      </c>
      <c r="AQ15" t="e">
        <f>AND('3-15 PSI'!H15,"AAAAAFv77So=")</f>
        <v>#VALUE!</v>
      </c>
      <c r="AR15" t="e">
        <f>AND('3-15 PSI'!I15,"AAAAAFv77Ss=")</f>
        <v>#VALUE!</v>
      </c>
      <c r="AS15" t="e">
        <f>AND('3-15 PSI'!J15,"AAAAAFv77Sw=")</f>
        <v>#VALUE!</v>
      </c>
      <c r="AT15">
        <f>IF('3-15 PSI'!16:16,"AAAAAFv77S0=",0)</f>
        <v>0</v>
      </c>
      <c r="AU15" t="e">
        <f>AND('3-15 PSI'!A16,"AAAAAFv77S4=")</f>
        <v>#VALUE!</v>
      </c>
      <c r="AV15" t="e">
        <f>AND('3-15 PSI'!B16,"AAAAAFv77S8=")</f>
        <v>#VALUE!</v>
      </c>
      <c r="AW15" t="e">
        <f>AND('3-15 PSI'!C16,"AAAAAFv77TA=")</f>
        <v>#VALUE!</v>
      </c>
      <c r="AX15" t="e">
        <f>AND('3-15 PSI'!D16,"AAAAAFv77TE=")</f>
        <v>#VALUE!</v>
      </c>
      <c r="AY15" t="e">
        <f>AND('3-15 PSI'!E16,"AAAAAFv77TI=")</f>
        <v>#VALUE!</v>
      </c>
      <c r="AZ15" t="e">
        <f>AND('3-15 PSI'!F16,"AAAAAFv77TM=")</f>
        <v>#VALUE!</v>
      </c>
      <c r="BA15" t="e">
        <f>AND('3-15 PSI'!G16,"AAAAAFv77TQ=")</f>
        <v>#VALUE!</v>
      </c>
      <c r="BB15" t="e">
        <f>AND('3-15 PSI'!H16,"AAAAAFv77TU=")</f>
        <v>#VALUE!</v>
      </c>
      <c r="BC15" t="e">
        <f>AND('3-15 PSI'!I16,"AAAAAFv77TY=")</f>
        <v>#VALUE!</v>
      </c>
      <c r="BD15" t="e">
        <f>AND('3-15 PSI'!J16,"AAAAAFv77Tc=")</f>
        <v>#VALUE!</v>
      </c>
      <c r="BE15">
        <f>IF('3-15 PSI'!17:17,"AAAAAFv77Tg=",0)</f>
        <v>0</v>
      </c>
      <c r="BF15" t="e">
        <f>AND('3-15 PSI'!A17,"AAAAAFv77Tk=")</f>
        <v>#VALUE!</v>
      </c>
      <c r="BG15" t="e">
        <f>AND('3-15 PSI'!B17,"AAAAAFv77To=")</f>
        <v>#VALUE!</v>
      </c>
      <c r="BH15" t="e">
        <f>AND('3-15 PSI'!C17,"AAAAAFv77Ts=")</f>
        <v>#VALUE!</v>
      </c>
      <c r="BI15" t="e">
        <f>AND('3-15 PSI'!D17,"AAAAAFv77Tw=")</f>
        <v>#VALUE!</v>
      </c>
      <c r="BJ15" t="e">
        <f>AND('3-15 PSI'!E17,"AAAAAFv77T0=")</f>
        <v>#VALUE!</v>
      </c>
      <c r="BK15" t="e">
        <f>AND('3-15 PSI'!F17,"AAAAAFv77T4=")</f>
        <v>#VALUE!</v>
      </c>
      <c r="BL15" t="e">
        <f>AND('3-15 PSI'!G17,"AAAAAFv77T8=")</f>
        <v>#VALUE!</v>
      </c>
      <c r="BM15" t="e">
        <f>AND('3-15 PSI'!H17,"AAAAAFv77UA=")</f>
        <v>#VALUE!</v>
      </c>
      <c r="BN15" t="e">
        <f>AND('3-15 PSI'!I17,"AAAAAFv77UE=")</f>
        <v>#VALUE!</v>
      </c>
      <c r="BO15" t="e">
        <f>AND('3-15 PSI'!J17,"AAAAAFv77UI=")</f>
        <v>#VALUE!</v>
      </c>
      <c r="BP15">
        <f>IF('3-15 PSI'!18:18,"AAAAAFv77UM=",0)</f>
        <v>0</v>
      </c>
      <c r="BQ15" t="e">
        <f>AND('3-15 PSI'!A18,"AAAAAFv77UQ=")</f>
        <v>#VALUE!</v>
      </c>
      <c r="BR15" t="e">
        <f>AND('3-15 PSI'!B18,"AAAAAFv77UU=")</f>
        <v>#VALUE!</v>
      </c>
      <c r="BS15" t="e">
        <f>AND('3-15 PSI'!C18,"AAAAAFv77UY=")</f>
        <v>#VALUE!</v>
      </c>
      <c r="BT15" t="e">
        <f>AND('3-15 PSI'!D18,"AAAAAFv77Uc=")</f>
        <v>#VALUE!</v>
      </c>
      <c r="BU15" t="e">
        <f>AND('3-15 PSI'!E18,"AAAAAFv77Ug=")</f>
        <v>#VALUE!</v>
      </c>
      <c r="BV15" t="e">
        <f>AND('3-15 PSI'!F18,"AAAAAFv77Uk=")</f>
        <v>#VALUE!</v>
      </c>
      <c r="BW15" t="e">
        <f>AND('3-15 PSI'!G18,"AAAAAFv77Uo=")</f>
        <v>#VALUE!</v>
      </c>
      <c r="BX15" t="e">
        <f>AND('3-15 PSI'!H18,"AAAAAFv77Us=")</f>
        <v>#VALUE!</v>
      </c>
      <c r="BY15" t="e">
        <f>AND('3-15 PSI'!I18,"AAAAAFv77Uw=")</f>
        <v>#VALUE!</v>
      </c>
      <c r="BZ15" t="e">
        <f>AND('3-15 PSI'!J18,"AAAAAFv77U0=")</f>
        <v>#VALUE!</v>
      </c>
      <c r="CA15">
        <f>IF('3-15 PSI'!19:19,"AAAAAFv77U4=",0)</f>
        <v>0</v>
      </c>
      <c r="CB15" t="e">
        <f>AND('3-15 PSI'!A19,"AAAAAFv77U8=")</f>
        <v>#VALUE!</v>
      </c>
      <c r="CC15" t="e">
        <f>AND('3-15 PSI'!B19,"AAAAAFv77VA=")</f>
        <v>#VALUE!</v>
      </c>
      <c r="CD15" t="e">
        <f>AND('3-15 PSI'!C19,"AAAAAFv77VE=")</f>
        <v>#VALUE!</v>
      </c>
      <c r="CE15" t="e">
        <f>AND('3-15 PSI'!D19,"AAAAAFv77VI=")</f>
        <v>#VALUE!</v>
      </c>
      <c r="CF15" t="e">
        <f>AND('3-15 PSI'!E19,"AAAAAFv77VM=")</f>
        <v>#VALUE!</v>
      </c>
      <c r="CG15" t="e">
        <f>AND('3-15 PSI'!F19,"AAAAAFv77VQ=")</f>
        <v>#VALUE!</v>
      </c>
      <c r="CH15" t="e">
        <f>AND('3-15 PSI'!G19,"AAAAAFv77VU=")</f>
        <v>#VALUE!</v>
      </c>
      <c r="CI15" t="e">
        <f>AND('3-15 PSI'!H19,"AAAAAFv77VY=")</f>
        <v>#VALUE!</v>
      </c>
      <c r="CJ15" t="e">
        <f>AND('3-15 PSI'!I19,"AAAAAFv77Vc=")</f>
        <v>#VALUE!</v>
      </c>
      <c r="CK15" t="e">
        <f>AND('3-15 PSI'!J19,"AAAAAFv77Vg=")</f>
        <v>#VALUE!</v>
      </c>
      <c r="CL15">
        <f>IF('3-15 PSI'!20:20,"AAAAAFv77Vk=",0)</f>
        <v>0</v>
      </c>
      <c r="CM15" t="e">
        <f>AND('3-15 PSI'!A20,"AAAAAFv77Vo=")</f>
        <v>#VALUE!</v>
      </c>
      <c r="CN15" t="e">
        <f>AND('3-15 PSI'!B20,"AAAAAFv77Vs=")</f>
        <v>#VALUE!</v>
      </c>
      <c r="CO15" t="e">
        <f>AND('3-15 PSI'!C20,"AAAAAFv77Vw=")</f>
        <v>#VALUE!</v>
      </c>
      <c r="CP15" t="e">
        <f>AND('3-15 PSI'!D20,"AAAAAFv77V0=")</f>
        <v>#VALUE!</v>
      </c>
      <c r="CQ15" t="e">
        <f>AND('3-15 PSI'!E20,"AAAAAFv77V4=")</f>
        <v>#VALUE!</v>
      </c>
      <c r="CR15" t="e">
        <f>AND('3-15 PSI'!F20,"AAAAAFv77V8=")</f>
        <v>#VALUE!</v>
      </c>
      <c r="CS15" t="e">
        <f>AND('3-15 PSI'!G20,"AAAAAFv77WA=")</f>
        <v>#VALUE!</v>
      </c>
      <c r="CT15" t="e">
        <f>AND('3-15 PSI'!H20,"AAAAAFv77WE=")</f>
        <v>#VALUE!</v>
      </c>
      <c r="CU15" t="e">
        <f>AND('3-15 PSI'!I20,"AAAAAFv77WI=")</f>
        <v>#VALUE!</v>
      </c>
      <c r="CV15" t="e">
        <f>AND('3-15 PSI'!J20,"AAAAAFv77WM=")</f>
        <v>#VALUE!</v>
      </c>
      <c r="CW15">
        <f>IF('3-15 PSI'!21:21,"AAAAAFv77WQ=",0)</f>
        <v>0</v>
      </c>
      <c r="CX15" t="e">
        <f>AND('3-15 PSI'!A21,"AAAAAFv77WU=")</f>
        <v>#VALUE!</v>
      </c>
      <c r="CY15" t="e">
        <f>AND('3-15 PSI'!B21,"AAAAAFv77WY=")</f>
        <v>#VALUE!</v>
      </c>
      <c r="CZ15" t="e">
        <f>AND('3-15 PSI'!C21,"AAAAAFv77Wc=")</f>
        <v>#VALUE!</v>
      </c>
      <c r="DA15" t="e">
        <f>AND('3-15 PSI'!D21,"AAAAAFv77Wg=")</f>
        <v>#VALUE!</v>
      </c>
      <c r="DB15" t="e">
        <f>AND('3-15 PSI'!E21,"AAAAAFv77Wk=")</f>
        <v>#VALUE!</v>
      </c>
      <c r="DC15" t="e">
        <f>AND('3-15 PSI'!F21,"AAAAAFv77Wo=")</f>
        <v>#VALUE!</v>
      </c>
      <c r="DD15" t="e">
        <f>AND('3-15 PSI'!G21,"AAAAAFv77Ws=")</f>
        <v>#VALUE!</v>
      </c>
      <c r="DE15" t="e">
        <f>AND('3-15 PSI'!H21,"AAAAAFv77Ww=")</f>
        <v>#VALUE!</v>
      </c>
      <c r="DF15" t="e">
        <f>AND('3-15 PSI'!I21,"AAAAAFv77W0=")</f>
        <v>#VALUE!</v>
      </c>
      <c r="DG15" t="e">
        <f>AND('3-15 PSI'!J21,"AAAAAFv77W4=")</f>
        <v>#VALUE!</v>
      </c>
      <c r="DH15">
        <f>IF('3-15 PSI'!22:22,"AAAAAFv77W8=",0)</f>
        <v>0</v>
      </c>
      <c r="DI15" t="e">
        <f>AND('3-15 PSI'!A22,"AAAAAFv77XA=")</f>
        <v>#VALUE!</v>
      </c>
      <c r="DJ15" t="e">
        <f>AND('3-15 PSI'!B22,"AAAAAFv77XE=")</f>
        <v>#VALUE!</v>
      </c>
      <c r="DK15" t="e">
        <f>AND('3-15 PSI'!C22,"AAAAAFv77XI=")</f>
        <v>#VALUE!</v>
      </c>
      <c r="DL15" t="e">
        <f>AND('3-15 PSI'!D22,"AAAAAFv77XM=")</f>
        <v>#VALUE!</v>
      </c>
      <c r="DM15" t="e">
        <f>AND('3-15 PSI'!E22,"AAAAAFv77XQ=")</f>
        <v>#VALUE!</v>
      </c>
      <c r="DN15" t="e">
        <f>AND('3-15 PSI'!F22,"AAAAAFv77XU=")</f>
        <v>#VALUE!</v>
      </c>
      <c r="DO15" t="e">
        <f>AND('3-15 PSI'!G22,"AAAAAFv77XY=")</f>
        <v>#VALUE!</v>
      </c>
      <c r="DP15" t="e">
        <f>AND('3-15 PSI'!H22,"AAAAAFv77Xc=")</f>
        <v>#VALUE!</v>
      </c>
      <c r="DQ15" t="e">
        <f>AND('3-15 PSI'!I22,"AAAAAFv77Xg=")</f>
        <v>#VALUE!</v>
      </c>
      <c r="DR15" t="e">
        <f>AND('3-15 PSI'!J22,"AAAAAFv77Xk=")</f>
        <v>#VALUE!</v>
      </c>
      <c r="DS15">
        <f>IF('3-15 PSI'!23:23,"AAAAAFv77Xo=",0)</f>
        <v>0</v>
      </c>
      <c r="DT15" t="e">
        <f>AND('3-15 PSI'!A23,"AAAAAFv77Xs=")</f>
        <v>#VALUE!</v>
      </c>
      <c r="DU15" t="e">
        <f>AND('3-15 PSI'!B23,"AAAAAFv77Xw=")</f>
        <v>#VALUE!</v>
      </c>
      <c r="DV15" t="e">
        <f>AND('3-15 PSI'!C23,"AAAAAFv77X0=")</f>
        <v>#VALUE!</v>
      </c>
      <c r="DW15" t="e">
        <f>AND('3-15 PSI'!D23,"AAAAAFv77X4=")</f>
        <v>#VALUE!</v>
      </c>
      <c r="DX15" t="e">
        <f>AND('3-15 PSI'!E23,"AAAAAFv77X8=")</f>
        <v>#VALUE!</v>
      </c>
      <c r="DY15" t="e">
        <f>AND('3-15 PSI'!F23,"AAAAAFv77YA=")</f>
        <v>#VALUE!</v>
      </c>
      <c r="DZ15" t="e">
        <f>AND('3-15 PSI'!G23,"AAAAAFv77YE=")</f>
        <v>#VALUE!</v>
      </c>
      <c r="EA15" t="e">
        <f>AND('3-15 PSI'!H23,"AAAAAFv77YI=")</f>
        <v>#VALUE!</v>
      </c>
      <c r="EB15" t="e">
        <f>AND('3-15 PSI'!I23,"AAAAAFv77YM=")</f>
        <v>#VALUE!</v>
      </c>
      <c r="EC15" t="e">
        <f>AND('3-15 PSI'!J23,"AAAAAFv77YQ=")</f>
        <v>#VALUE!</v>
      </c>
      <c r="ED15">
        <f>IF('3-15 PSI'!24:24,"AAAAAFv77YU=",0)</f>
        <v>0</v>
      </c>
      <c r="EE15" t="e">
        <f>AND('3-15 PSI'!A24,"AAAAAFv77YY=")</f>
        <v>#VALUE!</v>
      </c>
      <c r="EF15" t="e">
        <f>AND('3-15 PSI'!B24,"AAAAAFv77Yc=")</f>
        <v>#VALUE!</v>
      </c>
      <c r="EG15" t="e">
        <f>AND('3-15 PSI'!C24,"AAAAAFv77Yg=")</f>
        <v>#VALUE!</v>
      </c>
      <c r="EH15" t="e">
        <f>AND('3-15 PSI'!D24,"AAAAAFv77Yk=")</f>
        <v>#VALUE!</v>
      </c>
      <c r="EI15" t="e">
        <f>AND('3-15 PSI'!E24,"AAAAAFv77Yo=")</f>
        <v>#VALUE!</v>
      </c>
      <c r="EJ15" t="e">
        <f>AND('3-15 PSI'!F24,"AAAAAFv77Ys=")</f>
        <v>#VALUE!</v>
      </c>
      <c r="EK15" t="e">
        <f>AND('3-15 PSI'!G24,"AAAAAFv77Yw=")</f>
        <v>#VALUE!</v>
      </c>
      <c r="EL15" t="e">
        <f>AND('3-15 PSI'!H24,"AAAAAFv77Y0=")</f>
        <v>#VALUE!</v>
      </c>
      <c r="EM15" t="e">
        <f>AND('3-15 PSI'!I24,"AAAAAFv77Y4=")</f>
        <v>#VALUE!</v>
      </c>
      <c r="EN15" t="e">
        <f>AND('3-15 PSI'!J24,"AAAAAFv77Y8=")</f>
        <v>#VALUE!</v>
      </c>
      <c r="EO15">
        <f>IF('3-15 PSI'!25:25,"AAAAAFv77ZA=",0)</f>
        <v>0</v>
      </c>
      <c r="EP15" t="e">
        <f>AND('3-15 PSI'!A25,"AAAAAFv77ZE=")</f>
        <v>#VALUE!</v>
      </c>
      <c r="EQ15" t="e">
        <f>AND('3-15 PSI'!B25,"AAAAAFv77ZI=")</f>
        <v>#VALUE!</v>
      </c>
      <c r="ER15" t="e">
        <f>AND('3-15 PSI'!C25,"AAAAAFv77ZM=")</f>
        <v>#VALUE!</v>
      </c>
      <c r="ES15" t="e">
        <f>AND('3-15 PSI'!D25,"AAAAAFv77ZQ=")</f>
        <v>#VALUE!</v>
      </c>
      <c r="ET15" t="e">
        <f>AND('3-15 PSI'!E25,"AAAAAFv77ZU=")</f>
        <v>#VALUE!</v>
      </c>
      <c r="EU15" t="e">
        <f>AND('3-15 PSI'!F25,"AAAAAFv77ZY=")</f>
        <v>#VALUE!</v>
      </c>
      <c r="EV15" t="e">
        <f>AND('3-15 PSI'!G25,"AAAAAFv77Zc=")</f>
        <v>#VALUE!</v>
      </c>
      <c r="EW15" t="e">
        <f>AND('3-15 PSI'!H25,"AAAAAFv77Zg=")</f>
        <v>#VALUE!</v>
      </c>
      <c r="EX15" t="e">
        <f>AND('3-15 PSI'!I25,"AAAAAFv77Zk=")</f>
        <v>#VALUE!</v>
      </c>
      <c r="EY15" t="e">
        <f>AND('3-15 PSI'!J25,"AAAAAFv77Zo=")</f>
        <v>#VALUE!</v>
      </c>
      <c r="EZ15">
        <f>IF('3-15 PSI'!26:26,"AAAAAFv77Zs=",0)</f>
        <v>0</v>
      </c>
      <c r="FA15" t="e">
        <f>AND('3-15 PSI'!A26,"AAAAAFv77Zw=")</f>
        <v>#VALUE!</v>
      </c>
      <c r="FB15" t="e">
        <f>AND('3-15 PSI'!B26,"AAAAAFv77Z0=")</f>
        <v>#VALUE!</v>
      </c>
      <c r="FC15" t="e">
        <f>AND('3-15 PSI'!C26,"AAAAAFv77Z4=")</f>
        <v>#VALUE!</v>
      </c>
      <c r="FD15" t="e">
        <f>AND('3-15 PSI'!D26,"AAAAAFv77Z8=")</f>
        <v>#VALUE!</v>
      </c>
      <c r="FE15" t="e">
        <f>AND('3-15 PSI'!E26,"AAAAAFv77aA=")</f>
        <v>#VALUE!</v>
      </c>
      <c r="FF15" t="e">
        <f>AND('3-15 PSI'!F26,"AAAAAFv77aE=")</f>
        <v>#VALUE!</v>
      </c>
      <c r="FG15" t="e">
        <f>AND('3-15 PSI'!G26,"AAAAAFv77aI=")</f>
        <v>#VALUE!</v>
      </c>
      <c r="FH15" t="e">
        <f>AND('3-15 PSI'!H26,"AAAAAFv77aM=")</f>
        <v>#VALUE!</v>
      </c>
      <c r="FI15" t="e">
        <f>AND('3-15 PSI'!I26,"AAAAAFv77aQ=")</f>
        <v>#VALUE!</v>
      </c>
      <c r="FJ15" t="e">
        <f>AND('3-15 PSI'!J26,"AAAAAFv77aU=")</f>
        <v>#VALUE!</v>
      </c>
      <c r="FK15">
        <f>IF('3-15 PSI'!27:27,"AAAAAFv77aY=",0)</f>
        <v>0</v>
      </c>
      <c r="FL15" t="e">
        <f>AND('3-15 PSI'!A27,"AAAAAFv77ac=")</f>
        <v>#VALUE!</v>
      </c>
      <c r="FM15" t="e">
        <f>AND('3-15 PSI'!B27,"AAAAAFv77ag=")</f>
        <v>#VALUE!</v>
      </c>
      <c r="FN15" t="e">
        <f>AND('3-15 PSI'!C27,"AAAAAFv77ak=")</f>
        <v>#VALUE!</v>
      </c>
      <c r="FO15" t="e">
        <f>AND('3-15 PSI'!D27,"AAAAAFv77ao=")</f>
        <v>#VALUE!</v>
      </c>
      <c r="FP15" t="e">
        <f>AND('3-15 PSI'!E27,"AAAAAFv77as=")</f>
        <v>#VALUE!</v>
      </c>
      <c r="FQ15" t="e">
        <f>AND('3-15 PSI'!F27,"AAAAAFv77aw=")</f>
        <v>#VALUE!</v>
      </c>
      <c r="FR15" t="e">
        <f>AND('3-15 PSI'!G27,"AAAAAFv77a0=")</f>
        <v>#VALUE!</v>
      </c>
      <c r="FS15" t="e">
        <f>AND('3-15 PSI'!H27,"AAAAAFv77a4=")</f>
        <v>#VALUE!</v>
      </c>
      <c r="FT15" t="e">
        <f>AND('3-15 PSI'!I27,"AAAAAFv77a8=")</f>
        <v>#VALUE!</v>
      </c>
      <c r="FU15" t="e">
        <f>AND('3-15 PSI'!J27,"AAAAAFv77bA=")</f>
        <v>#VALUE!</v>
      </c>
      <c r="FV15">
        <f>IF('3-15 PSI'!28:28,"AAAAAFv77bE=",0)</f>
        <v>0</v>
      </c>
      <c r="FW15" t="e">
        <f>AND('3-15 PSI'!A28,"AAAAAFv77bI=")</f>
        <v>#VALUE!</v>
      </c>
      <c r="FX15" t="e">
        <f>AND('3-15 PSI'!B28,"AAAAAFv77bM=")</f>
        <v>#VALUE!</v>
      </c>
      <c r="FY15" t="e">
        <f>AND('3-15 PSI'!C28,"AAAAAFv77bQ=")</f>
        <v>#VALUE!</v>
      </c>
      <c r="FZ15" t="e">
        <f>AND('3-15 PSI'!D28,"AAAAAFv77bU=")</f>
        <v>#VALUE!</v>
      </c>
      <c r="GA15" t="e">
        <f>AND('3-15 PSI'!E28,"AAAAAFv77bY=")</f>
        <v>#VALUE!</v>
      </c>
      <c r="GB15" t="e">
        <f>AND('3-15 PSI'!F28,"AAAAAFv77bc=")</f>
        <v>#VALUE!</v>
      </c>
      <c r="GC15" t="e">
        <f>AND('3-15 PSI'!G28,"AAAAAFv77bg=")</f>
        <v>#VALUE!</v>
      </c>
      <c r="GD15" t="e">
        <f>AND('3-15 PSI'!H28,"AAAAAFv77bk=")</f>
        <v>#VALUE!</v>
      </c>
      <c r="GE15" t="e">
        <f>AND('3-15 PSI'!I28,"AAAAAFv77bo=")</f>
        <v>#VALUE!</v>
      </c>
      <c r="GF15" t="e">
        <f>AND('3-15 PSI'!J28,"AAAAAFv77bs=")</f>
        <v>#VALUE!</v>
      </c>
      <c r="GG15">
        <f>IF('3-15 PSI'!29:29,"AAAAAFv77bw=",0)</f>
        <v>0</v>
      </c>
      <c r="GH15" t="e">
        <f>AND('3-15 PSI'!A29,"AAAAAFv77b0=")</f>
        <v>#VALUE!</v>
      </c>
      <c r="GI15" t="e">
        <f>AND('3-15 PSI'!B29,"AAAAAFv77b4=")</f>
        <v>#VALUE!</v>
      </c>
      <c r="GJ15" t="e">
        <f>AND('3-15 PSI'!C29,"AAAAAFv77b8=")</f>
        <v>#VALUE!</v>
      </c>
      <c r="GK15" t="e">
        <f>AND('3-15 PSI'!D29,"AAAAAFv77cA=")</f>
        <v>#VALUE!</v>
      </c>
      <c r="GL15" t="e">
        <f>AND('3-15 PSI'!E29,"AAAAAFv77cE=")</f>
        <v>#VALUE!</v>
      </c>
      <c r="GM15" t="e">
        <f>AND('3-15 PSI'!F29,"AAAAAFv77cI=")</f>
        <v>#VALUE!</v>
      </c>
      <c r="GN15" t="e">
        <f>AND('3-15 PSI'!G29,"AAAAAFv77cM=")</f>
        <v>#VALUE!</v>
      </c>
      <c r="GO15" t="e">
        <f>AND('3-15 PSI'!H29,"AAAAAFv77cQ=")</f>
        <v>#VALUE!</v>
      </c>
      <c r="GP15" t="e">
        <f>AND('3-15 PSI'!I29,"AAAAAFv77cU=")</f>
        <v>#VALUE!</v>
      </c>
      <c r="GQ15" t="e">
        <f>AND('3-15 PSI'!J29,"AAAAAFv77cY=")</f>
        <v>#VALUE!</v>
      </c>
      <c r="GR15">
        <f>IF('3-15 PSI'!30:30,"AAAAAFv77cc=",0)</f>
        <v>0</v>
      </c>
      <c r="GS15" t="e">
        <f>AND('3-15 PSI'!A30,"AAAAAFv77cg=")</f>
        <v>#VALUE!</v>
      </c>
      <c r="GT15" t="e">
        <f>AND('3-15 PSI'!B30,"AAAAAFv77ck=")</f>
        <v>#VALUE!</v>
      </c>
      <c r="GU15" t="e">
        <f>AND('3-15 PSI'!C30,"AAAAAFv77co=")</f>
        <v>#VALUE!</v>
      </c>
      <c r="GV15" t="e">
        <f>AND('3-15 PSI'!D30,"AAAAAFv77cs=")</f>
        <v>#VALUE!</v>
      </c>
      <c r="GW15" t="e">
        <f>AND('3-15 PSI'!E30,"AAAAAFv77cw=")</f>
        <v>#VALUE!</v>
      </c>
      <c r="GX15" t="e">
        <f>AND('3-15 PSI'!F30,"AAAAAFv77c0=")</f>
        <v>#VALUE!</v>
      </c>
      <c r="GY15" t="e">
        <f>AND('3-15 PSI'!G30,"AAAAAFv77c4=")</f>
        <v>#VALUE!</v>
      </c>
      <c r="GZ15" t="e">
        <f>AND('3-15 PSI'!H30,"AAAAAFv77c8=")</f>
        <v>#VALUE!</v>
      </c>
      <c r="HA15" t="e">
        <f>AND('3-15 PSI'!I30,"AAAAAFv77dA=")</f>
        <v>#VALUE!</v>
      </c>
      <c r="HB15" t="e">
        <f>AND('3-15 PSI'!J30,"AAAAAFv77dE=")</f>
        <v>#VALUE!</v>
      </c>
      <c r="HC15">
        <f>IF('3-15 PSI'!31:31,"AAAAAFv77dI=",0)</f>
        <v>0</v>
      </c>
      <c r="HD15" t="e">
        <f>AND('3-15 PSI'!A31,"AAAAAFv77dM=")</f>
        <v>#VALUE!</v>
      </c>
      <c r="HE15" t="e">
        <f>AND('3-15 PSI'!B31,"AAAAAFv77dQ=")</f>
        <v>#VALUE!</v>
      </c>
      <c r="HF15" t="e">
        <f>AND('3-15 PSI'!C31,"AAAAAFv77dU=")</f>
        <v>#VALUE!</v>
      </c>
      <c r="HG15" t="e">
        <f>AND('3-15 PSI'!D31,"AAAAAFv77dY=")</f>
        <v>#VALUE!</v>
      </c>
      <c r="HH15" t="e">
        <f>AND('3-15 PSI'!E31,"AAAAAFv77dc=")</f>
        <v>#VALUE!</v>
      </c>
      <c r="HI15" t="e">
        <f>AND('3-15 PSI'!F31,"AAAAAFv77dg=")</f>
        <v>#VALUE!</v>
      </c>
      <c r="HJ15" t="e">
        <f>AND('3-15 PSI'!G31,"AAAAAFv77dk=")</f>
        <v>#VALUE!</v>
      </c>
      <c r="HK15" t="e">
        <f>AND('3-15 PSI'!H31,"AAAAAFv77do=")</f>
        <v>#VALUE!</v>
      </c>
      <c r="HL15" t="e">
        <f>AND('3-15 PSI'!I31,"AAAAAFv77ds=")</f>
        <v>#VALUE!</v>
      </c>
      <c r="HM15" t="e">
        <f>AND('3-15 PSI'!J31,"AAAAAFv77dw=")</f>
        <v>#VALUE!</v>
      </c>
      <c r="HN15">
        <f>IF('3-15 PSI'!32:32,"AAAAAFv77d0=",0)</f>
        <v>0</v>
      </c>
      <c r="HO15" t="e">
        <f>AND('3-15 PSI'!A32,"AAAAAFv77d4=")</f>
        <v>#VALUE!</v>
      </c>
      <c r="HP15" t="e">
        <f>AND('3-15 PSI'!B32,"AAAAAFv77d8=")</f>
        <v>#VALUE!</v>
      </c>
      <c r="HQ15" t="e">
        <f>AND('3-15 PSI'!C32,"AAAAAFv77eA=")</f>
        <v>#VALUE!</v>
      </c>
      <c r="HR15" t="e">
        <f>AND('3-15 PSI'!D32,"AAAAAFv77eE=")</f>
        <v>#VALUE!</v>
      </c>
      <c r="HS15" t="e">
        <f>AND('3-15 PSI'!E32,"AAAAAFv77eI=")</f>
        <v>#VALUE!</v>
      </c>
      <c r="HT15" t="e">
        <f>AND('3-15 PSI'!F32,"AAAAAFv77eM=")</f>
        <v>#VALUE!</v>
      </c>
      <c r="HU15" t="e">
        <f>AND('3-15 PSI'!G32,"AAAAAFv77eQ=")</f>
        <v>#VALUE!</v>
      </c>
      <c r="HV15" t="e">
        <f>AND('3-15 PSI'!H32,"AAAAAFv77eU=")</f>
        <v>#VALUE!</v>
      </c>
      <c r="HW15" t="e">
        <f>AND('3-15 PSI'!I32,"AAAAAFv77eY=")</f>
        <v>#VALUE!</v>
      </c>
      <c r="HX15" t="e">
        <f>AND('3-15 PSI'!J32,"AAAAAFv77ec=")</f>
        <v>#VALUE!</v>
      </c>
      <c r="HY15">
        <f>IF('3-15 PSI'!33:33,"AAAAAFv77eg=",0)</f>
        <v>0</v>
      </c>
      <c r="HZ15" t="e">
        <f>AND('3-15 PSI'!A33,"AAAAAFv77ek=")</f>
        <v>#VALUE!</v>
      </c>
      <c r="IA15" t="e">
        <f>AND('3-15 PSI'!B33,"AAAAAFv77eo=")</f>
        <v>#VALUE!</v>
      </c>
      <c r="IB15" t="e">
        <f>AND('3-15 PSI'!C33,"AAAAAFv77es=")</f>
        <v>#VALUE!</v>
      </c>
      <c r="IC15" t="e">
        <f>AND('3-15 PSI'!D33,"AAAAAFv77ew=")</f>
        <v>#VALUE!</v>
      </c>
      <c r="ID15" t="e">
        <f>AND('3-15 PSI'!E33,"AAAAAFv77e0=")</f>
        <v>#VALUE!</v>
      </c>
      <c r="IE15" t="e">
        <f>AND('3-15 PSI'!F33,"AAAAAFv77e4=")</f>
        <v>#VALUE!</v>
      </c>
      <c r="IF15" t="e">
        <f>AND('3-15 PSI'!G33,"AAAAAFv77e8=")</f>
        <v>#VALUE!</v>
      </c>
      <c r="IG15" t="e">
        <f>AND('3-15 PSI'!H33,"AAAAAFv77fA=")</f>
        <v>#VALUE!</v>
      </c>
      <c r="IH15" t="e">
        <f>AND('3-15 PSI'!I33,"AAAAAFv77fE=")</f>
        <v>#VALUE!</v>
      </c>
      <c r="II15" t="e">
        <f>AND('3-15 PSI'!J33,"AAAAAFv77fI=")</f>
        <v>#VALUE!</v>
      </c>
      <c r="IJ15">
        <f>IF('3-15 PSI'!34:34,"AAAAAFv77fM=",0)</f>
        <v>0</v>
      </c>
      <c r="IK15" t="e">
        <f>AND('3-15 PSI'!A34,"AAAAAFv77fQ=")</f>
        <v>#VALUE!</v>
      </c>
      <c r="IL15" t="e">
        <f>AND('3-15 PSI'!B34,"AAAAAFv77fU=")</f>
        <v>#VALUE!</v>
      </c>
      <c r="IM15" t="e">
        <f>AND('3-15 PSI'!C34,"AAAAAFv77fY=")</f>
        <v>#VALUE!</v>
      </c>
      <c r="IN15" t="e">
        <f>AND('3-15 PSI'!D34,"AAAAAFv77fc=")</f>
        <v>#VALUE!</v>
      </c>
      <c r="IO15" t="e">
        <f>AND('3-15 PSI'!E34,"AAAAAFv77fg=")</f>
        <v>#VALUE!</v>
      </c>
      <c r="IP15" t="e">
        <f>AND('3-15 PSI'!F34,"AAAAAFv77fk=")</f>
        <v>#VALUE!</v>
      </c>
      <c r="IQ15" t="e">
        <f>AND('3-15 PSI'!G34,"AAAAAFv77fo=")</f>
        <v>#VALUE!</v>
      </c>
      <c r="IR15" t="e">
        <f>AND('3-15 PSI'!H34,"AAAAAFv77fs=")</f>
        <v>#VALUE!</v>
      </c>
      <c r="IS15" t="e">
        <f>AND('3-15 PSI'!I34,"AAAAAFv77fw=")</f>
        <v>#VALUE!</v>
      </c>
      <c r="IT15" t="e">
        <f>AND('3-15 PSI'!J34,"AAAAAFv77f0=")</f>
        <v>#VALUE!</v>
      </c>
      <c r="IU15">
        <f>IF('3-15 PSI'!35:35,"AAAAAFv77f4=",0)</f>
        <v>0</v>
      </c>
      <c r="IV15" t="e">
        <f>AND('3-15 PSI'!A35,"AAAAAFv77f8=")</f>
        <v>#VALUE!</v>
      </c>
    </row>
    <row r="16" spans="1:256">
      <c r="A16" t="e">
        <f>AND('3-15 PSI'!B35,"AAAAAHv++QA=")</f>
        <v>#VALUE!</v>
      </c>
      <c r="B16" t="e">
        <f>AND('3-15 PSI'!C35,"AAAAAHv++QE=")</f>
        <v>#VALUE!</v>
      </c>
      <c r="C16" t="e">
        <f>AND('3-15 PSI'!D35,"AAAAAHv++QI=")</f>
        <v>#VALUE!</v>
      </c>
      <c r="D16" t="e">
        <f>AND('3-15 PSI'!E35,"AAAAAHv++QM=")</f>
        <v>#VALUE!</v>
      </c>
      <c r="E16" t="e">
        <f>AND('3-15 PSI'!F35,"AAAAAHv++QQ=")</f>
        <v>#VALUE!</v>
      </c>
      <c r="F16" t="e">
        <f>AND('3-15 PSI'!G35,"AAAAAHv++QU=")</f>
        <v>#VALUE!</v>
      </c>
      <c r="G16" t="e">
        <f>AND('3-15 PSI'!H35,"AAAAAHv++QY=")</f>
        <v>#VALUE!</v>
      </c>
      <c r="H16" t="e">
        <f>AND('3-15 PSI'!I35,"AAAAAHv++Qc=")</f>
        <v>#VALUE!</v>
      </c>
      <c r="I16" t="e">
        <f>AND('3-15 PSI'!J35,"AAAAAHv++Qg=")</f>
        <v>#VALUE!</v>
      </c>
      <c r="J16">
        <f>IF('3-15 PSI'!A:A,"AAAAAHv++Qk=",0)</f>
        <v>0</v>
      </c>
      <c r="K16">
        <f>IF('3-15 PSI'!B:B,"AAAAAHv++Qo=",0)</f>
        <v>0</v>
      </c>
      <c r="L16">
        <f>IF('3-15 PSI'!C:C,"AAAAAHv++Qs=",0)</f>
        <v>0</v>
      </c>
      <c r="M16">
        <f>IF('3-15 PSI'!D:D,"AAAAAHv++Qw=",0)</f>
        <v>0</v>
      </c>
      <c r="N16">
        <f>IF('3-15 PSI'!E:E,"AAAAAHv++Q0=",0)</f>
        <v>0</v>
      </c>
      <c r="O16">
        <f>IF('3-15 PSI'!F:F,"AAAAAHv++Q4=",0)</f>
        <v>0</v>
      </c>
      <c r="P16">
        <f>IF('3-15 PSI'!G:G,"AAAAAHv++Q8=",0)</f>
        <v>0</v>
      </c>
      <c r="Q16">
        <f>IF('3-15 PSI'!H:H,"AAAAAHv++RA=",0)</f>
        <v>0</v>
      </c>
      <c r="R16">
        <f>IF('3-15 PSI'!I:I,"AAAAAHv++RE=",0)</f>
        <v>0</v>
      </c>
      <c r="S16">
        <f>IF('3-15 PSI'!J:J,"AAAAAHv++RI=",0)</f>
        <v>0</v>
      </c>
    </row>
    <row r="17" spans="1:121">
      <c r="A17" t="e">
        <f>AND('1-5 Vdc'!B8,"AAAAAH7+uwA=")</f>
        <v>#VALUE!</v>
      </c>
    </row>
    <row r="18" spans="1:121">
      <c r="A18" t="e">
        <f>AND('1-5 Vdc'!K1,"AAAAAG+3/wA=")</f>
        <v>#VALUE!</v>
      </c>
      <c r="B18" t="e">
        <f>AND('1-5 Vdc'!K2,"AAAAAG+3/wE=")</f>
        <v>#VALUE!</v>
      </c>
      <c r="C18" t="e">
        <f>AND('1-5 Vdc'!K3,"AAAAAG+3/wI=")</f>
        <v>#VALUE!</v>
      </c>
      <c r="D18" t="e">
        <f>AND('1-5 Vdc'!K4,"AAAAAG+3/wM=")</f>
        <v>#VALUE!</v>
      </c>
      <c r="E18" t="e">
        <f>AND('1-5 Vdc'!K5,"AAAAAG+3/wQ=")</f>
        <v>#VALUE!</v>
      </c>
      <c r="F18" t="e">
        <f>AND('1-5 Vdc'!K6,"AAAAAG+3/wU=")</f>
        <v>#VALUE!</v>
      </c>
      <c r="G18" t="e">
        <f>AND('1-5 Vdc'!K7,"AAAAAG+3/wY=")</f>
        <v>#VALUE!</v>
      </c>
      <c r="H18" t="e">
        <f>AND('1-5 Vdc'!K8,"AAAAAG+3/wc=")</f>
        <v>#VALUE!</v>
      </c>
      <c r="I18" t="e">
        <f>AND('1-5 Vdc'!K9,"AAAAAG+3/wg=")</f>
        <v>#VALUE!</v>
      </c>
      <c r="J18" t="e">
        <f>AND('1-5 Vdc'!K10,"AAAAAG+3/wk=")</f>
        <v>#VALUE!</v>
      </c>
      <c r="K18" t="e">
        <f>AND('1-5 Vdc'!K11,"AAAAAG+3/wo=")</f>
        <v>#VALUE!</v>
      </c>
      <c r="L18" t="e">
        <f>AND('1-5 Vdc'!K12,"AAAAAG+3/ws=")</f>
        <v>#VALUE!</v>
      </c>
      <c r="M18" t="e">
        <f>AND('1-5 Vdc'!K13,"AAAAAG+3/ww=")</f>
        <v>#VALUE!</v>
      </c>
      <c r="N18" t="e">
        <f>AND('1-5 Vdc'!K14,"AAAAAG+3/w0=")</f>
        <v>#VALUE!</v>
      </c>
      <c r="O18" t="e">
        <f>AND('1-5 Vdc'!K15,"AAAAAG+3/w4=")</f>
        <v>#VALUE!</v>
      </c>
      <c r="P18" t="e">
        <f>AND('1-5 Vdc'!K16,"AAAAAG+3/w8=")</f>
        <v>#VALUE!</v>
      </c>
      <c r="Q18" t="e">
        <f>AND('1-5 Vdc'!K17,"AAAAAG+3/xA=")</f>
        <v>#VALUE!</v>
      </c>
      <c r="R18" t="e">
        <f>AND('1-5 Vdc'!K18,"AAAAAG+3/xE=")</f>
        <v>#VALUE!</v>
      </c>
      <c r="S18" t="e">
        <f>AND('1-5 Vdc'!K19,"AAAAAG+3/xI=")</f>
        <v>#VALUE!</v>
      </c>
      <c r="T18" t="e">
        <f>AND('1-5 Vdc'!K20,"AAAAAG+3/xM=")</f>
        <v>#VALUE!</v>
      </c>
      <c r="U18" t="e">
        <f>AND('1-5 Vdc'!K21,"AAAAAG+3/xQ=")</f>
        <v>#VALUE!</v>
      </c>
      <c r="V18" t="e">
        <f>AND('1-5 Vdc'!K22,"AAAAAG+3/xU=")</f>
        <v>#VALUE!</v>
      </c>
      <c r="W18" t="e">
        <f>AND('1-5 Vdc'!K23,"AAAAAG+3/xY=")</f>
        <v>#VALUE!</v>
      </c>
      <c r="X18" t="e">
        <f>AND('1-5 Vdc'!K24,"AAAAAG+3/xc=")</f>
        <v>#VALUE!</v>
      </c>
      <c r="Y18" t="e">
        <f>AND('1-5 Vdc'!K25,"AAAAAG+3/xg=")</f>
        <v>#VALUE!</v>
      </c>
      <c r="Z18" t="e">
        <f>AND('1-5 Vdc'!K26,"AAAAAG+3/xk=")</f>
        <v>#VALUE!</v>
      </c>
      <c r="AA18" t="e">
        <f>AND('1-5 Vdc'!K27,"AAAAAG+3/xo=")</f>
        <v>#VALUE!</v>
      </c>
      <c r="AB18" t="e">
        <f>AND('1-5 Vdc'!K28,"AAAAAG+3/xs=")</f>
        <v>#VALUE!</v>
      </c>
      <c r="AC18" t="e">
        <f>AND('1-5 Vdc'!K29,"AAAAAG+3/xw=")</f>
        <v>#VALUE!</v>
      </c>
      <c r="AD18" t="e">
        <f>AND('1-5 Vdc'!K30,"AAAAAG+3/x0=")</f>
        <v>#VALUE!</v>
      </c>
      <c r="AE18" t="e">
        <f>AND('1-5 Vdc'!K31,"AAAAAG+3/x4=")</f>
        <v>#VALUE!</v>
      </c>
      <c r="AF18" t="e">
        <f>AND('1-5 Vdc'!K32,"AAAAAG+3/x8=")</f>
        <v>#VALUE!</v>
      </c>
      <c r="AG18" t="e">
        <f>AND('1-5 Vdc'!K33,"AAAAAG+3/yA=")</f>
        <v>#VALUE!</v>
      </c>
      <c r="AH18" t="e">
        <f>AND('1-5 Vdc'!K34,"AAAAAG+3/yE=")</f>
        <v>#VALUE!</v>
      </c>
      <c r="AI18" t="e">
        <f>AND('1-5 Vdc'!K35,"AAAAAG+3/yI=")</f>
        <v>#VALUE!</v>
      </c>
      <c r="AJ18">
        <f>IF('1-5 Vdc'!K:K,"AAAAAG+3/yM=",0)</f>
        <v>0</v>
      </c>
      <c r="AK18">
        <f>IF(Units!2:2,"AAAAAG+3/yQ=",0)</f>
        <v>0</v>
      </c>
      <c r="AL18" t="e">
        <f>AND(Units!A2,"AAAAAG+3/yU=")</f>
        <v>#VALUE!</v>
      </c>
      <c r="AM18" t="e">
        <f>AND(Units!#REF!,"AAAAAG+3/yY=")</f>
        <v>#REF!</v>
      </c>
      <c r="AN18" t="e">
        <f>AND(Units!#REF!,"AAAAAG+3/yc=")</f>
        <v>#REF!</v>
      </c>
      <c r="AO18">
        <f>IF(Units!3:3,"AAAAAG+3/yg=",0)</f>
        <v>0</v>
      </c>
      <c r="AP18" t="e">
        <f>AND(Units!A3,"AAAAAG+3/yk=")</f>
        <v>#VALUE!</v>
      </c>
      <c r="AQ18" t="e">
        <f>AND(Units!#REF!,"AAAAAG+3/yo=")</f>
        <v>#REF!</v>
      </c>
      <c r="AR18" t="e">
        <f>AND(Units!#REF!,"AAAAAG+3/ys=")</f>
        <v>#REF!</v>
      </c>
      <c r="AS18">
        <f>IF(Units!4:4,"AAAAAG+3/yw=",0)</f>
        <v>0</v>
      </c>
      <c r="AT18">
        <f>IF(Units!5:5,"AAAAAG+3/y0=",0)</f>
        <v>0</v>
      </c>
      <c r="AU18">
        <f>IF(Units!6:6,"AAAAAG+3/y4=",0)</f>
        <v>0</v>
      </c>
      <c r="AV18">
        <f>IF(Units!7:7,"AAAAAG+3/y8=",0)</f>
        <v>0</v>
      </c>
      <c r="AW18">
        <f>IF(Units!8:8,"AAAAAG+3/zA=",0)</f>
        <v>0</v>
      </c>
      <c r="AX18">
        <f>IF(Units!9:9,"AAAAAG+3/zE=",0)</f>
        <v>0</v>
      </c>
      <c r="AY18">
        <f>IF(Units!10:10,"AAAAAG+3/zI=",0)</f>
        <v>0</v>
      </c>
      <c r="AZ18">
        <f>IF(Units!11:11,"AAAAAG+3/zM=",0)</f>
        <v>0</v>
      </c>
      <c r="BA18">
        <f>IF(Units!12:12,"AAAAAG+3/zQ=",0)</f>
        <v>0</v>
      </c>
      <c r="BB18">
        <f>IF(Units!13:13,"AAAAAG+3/zU=",0)</f>
        <v>0</v>
      </c>
      <c r="BC18">
        <f>IF(Units!14:14,"AAAAAG+3/zY=",0)</f>
        <v>0</v>
      </c>
      <c r="BD18">
        <f>IF(Units!15:15,"AAAAAG+3/zc=",0)</f>
        <v>0</v>
      </c>
      <c r="BE18">
        <f>IF(Units!16:16,"AAAAAG+3/zg=",0)</f>
        <v>0</v>
      </c>
      <c r="BF18">
        <f>IF(Units!17:17,"AAAAAG+3/zk=",0)</f>
        <v>0</v>
      </c>
      <c r="BG18">
        <f>IF(Units!18:18,"AAAAAG+3/zo=",0)</f>
        <v>0</v>
      </c>
      <c r="BH18">
        <f>IF(Units!19:19,"AAAAAG+3/zs=",0)</f>
        <v>0</v>
      </c>
      <c r="BI18">
        <f>IF(Units!20:20,"AAAAAG+3/zw=",0)</f>
        <v>0</v>
      </c>
      <c r="BJ18">
        <f>IF(Units!21:21,"AAAAAG+3/z0=",0)</f>
        <v>0</v>
      </c>
      <c r="BK18">
        <f>IF(Units!22:22,"AAAAAG+3/z4=",0)</f>
        <v>0</v>
      </c>
      <c r="BL18">
        <f>IF(Units!23:23,"AAAAAG+3/z8=",0)</f>
        <v>0</v>
      </c>
      <c r="BM18">
        <f>IF(Units!24:24,"AAAAAG+3/0A=",0)</f>
        <v>0</v>
      </c>
      <c r="BN18">
        <f>IF(Units!25:25,"AAAAAG+3/0E=",0)</f>
        <v>0</v>
      </c>
      <c r="BO18">
        <f>IF(Units!26:26,"AAAAAG+3/0I=",0)</f>
        <v>0</v>
      </c>
      <c r="BP18">
        <f>IF(Units!27:27,"AAAAAG+3/0M=",0)</f>
        <v>0</v>
      </c>
      <c r="BQ18">
        <f>IF(Units!28:28,"AAAAAG+3/0Q=",0)</f>
        <v>0</v>
      </c>
      <c r="BR18">
        <f>IF(Units!29:29,"AAAAAG+3/0U=",0)</f>
        <v>0</v>
      </c>
      <c r="BS18">
        <f>IF(Units!30:30,"AAAAAG+3/0Y=",0)</f>
        <v>0</v>
      </c>
      <c r="BT18">
        <f>IF(Units!31:31,"AAAAAG+3/0c=",0)</f>
        <v>0</v>
      </c>
      <c r="BU18">
        <f>IF(Units!32:32,"AAAAAG+3/0g=",0)</f>
        <v>0</v>
      </c>
      <c r="BV18">
        <f>IF(Units!33:33,"AAAAAG+3/0k=",0)</f>
        <v>0</v>
      </c>
      <c r="BW18">
        <f>IF(Units!34:34,"AAAAAG+3/0o=",0)</f>
        <v>0</v>
      </c>
      <c r="BX18">
        <f>IF(Units!35:35,"AAAAAG+3/0s=",0)</f>
        <v>0</v>
      </c>
      <c r="BY18">
        <f>IF(Units!36:36,"AAAAAG+3/0w=",0)</f>
        <v>0</v>
      </c>
      <c r="BZ18">
        <f>IF(Units!37:37,"AAAAAG+3/00=",0)</f>
        <v>0</v>
      </c>
      <c r="CA18">
        <f>IF(Units!38:38,"AAAAAG+3/04=",0)</f>
        <v>0</v>
      </c>
      <c r="CB18">
        <f>IF(Units!39:39,"AAAAAG+3/08=",0)</f>
        <v>0</v>
      </c>
      <c r="CC18">
        <f>IF(Units!40:40,"AAAAAG+3/1A=",0)</f>
        <v>0</v>
      </c>
      <c r="CD18">
        <f>IF(Units!41:41,"AAAAAG+3/1E=",0)</f>
        <v>0</v>
      </c>
      <c r="CE18">
        <f>IF(Units!42:42,"AAAAAG+3/1I=",0)</f>
        <v>0</v>
      </c>
      <c r="CF18">
        <f>IF(Units!43:43,"AAAAAG+3/1M=",0)</f>
        <v>0</v>
      </c>
      <c r="CG18">
        <f>IF(Units!44:44,"AAAAAG+3/1Q=",0)</f>
        <v>0</v>
      </c>
      <c r="CH18" t="e">
        <f>IF(Units!A:A,"AAAAAG+3/1U=",0)</f>
        <v>#VALUE!</v>
      </c>
      <c r="CI18" t="e">
        <f>IF(Units!#REF!,"AAAAAG+3/1Y=",0)</f>
        <v>#REF!</v>
      </c>
      <c r="CJ18" t="e">
        <f>IF(Units!#REF!,"AAAAAG+3/1c=",0)</f>
        <v>#REF!</v>
      </c>
    </row>
    <row r="19" spans="1:121">
      <c r="A19" t="e">
        <f>AND('1-5 Vdc'!L1,"AAAAAH3/8QA=")</f>
        <v>#VALUE!</v>
      </c>
      <c r="B19" t="e">
        <f>AND('1-5 Vdc'!M1,"AAAAAH3/8QE=")</f>
        <v>#VALUE!</v>
      </c>
      <c r="C19" t="e">
        <f>AND('1-5 Vdc'!L2,"AAAAAH3/8QI=")</f>
        <v>#VALUE!</v>
      </c>
      <c r="D19" t="e">
        <f>AND('1-5 Vdc'!M2,"AAAAAH3/8QM=")</f>
        <v>#VALUE!</v>
      </c>
      <c r="E19" t="e">
        <f>AND('1-5 Vdc'!L3,"AAAAAH3/8QQ=")</f>
        <v>#VALUE!</v>
      </c>
      <c r="F19" t="e">
        <f>AND('1-5 Vdc'!M3,"AAAAAH3/8QU=")</f>
        <v>#VALUE!</v>
      </c>
      <c r="G19" t="e">
        <f>AND('1-5 Vdc'!L4,"AAAAAH3/8QY=")</f>
        <v>#VALUE!</v>
      </c>
      <c r="H19" t="e">
        <f>AND('1-5 Vdc'!M4,"AAAAAH3/8Qc=")</f>
        <v>#VALUE!</v>
      </c>
      <c r="I19" t="e">
        <f>AND('1-5 Vdc'!L5,"AAAAAH3/8Qg=")</f>
        <v>#VALUE!</v>
      </c>
      <c r="J19" t="e">
        <f>AND('1-5 Vdc'!M5,"AAAAAH3/8Qk=")</f>
        <v>#VALUE!</v>
      </c>
      <c r="K19" t="e">
        <f>AND('1-5 Vdc'!L6,"AAAAAH3/8Qo=")</f>
        <v>#VALUE!</v>
      </c>
      <c r="L19" t="e">
        <f>AND('1-5 Vdc'!M6,"AAAAAH3/8Qs=")</f>
        <v>#VALUE!</v>
      </c>
      <c r="M19" t="e">
        <f>AND('1-5 Vdc'!L7,"AAAAAH3/8Qw=")</f>
        <v>#VALUE!</v>
      </c>
      <c r="N19" t="e">
        <f>AND('1-5 Vdc'!M7,"AAAAAH3/8Q0=")</f>
        <v>#VALUE!</v>
      </c>
      <c r="O19" t="e">
        <f>AND('1-5 Vdc'!L8,"AAAAAH3/8Q4=")</f>
        <v>#VALUE!</v>
      </c>
      <c r="P19" t="e">
        <f>AND('1-5 Vdc'!M8,"AAAAAH3/8Q8=")</f>
        <v>#VALUE!</v>
      </c>
      <c r="Q19" t="e">
        <f>AND('1-5 Vdc'!L9,"AAAAAH3/8RA=")</f>
        <v>#VALUE!</v>
      </c>
      <c r="R19" t="e">
        <f>AND('1-5 Vdc'!M9,"AAAAAH3/8RE=")</f>
        <v>#VALUE!</v>
      </c>
      <c r="S19" t="e">
        <f>AND('1-5 Vdc'!L10,"AAAAAH3/8RI=")</f>
        <v>#VALUE!</v>
      </c>
      <c r="T19" t="e">
        <f>AND('1-5 Vdc'!M10,"AAAAAH3/8RM=")</f>
        <v>#VALUE!</v>
      </c>
      <c r="U19" t="e">
        <f>AND('1-5 Vdc'!L11,"AAAAAH3/8RQ=")</f>
        <v>#VALUE!</v>
      </c>
      <c r="V19" t="e">
        <f>AND('1-5 Vdc'!M11,"AAAAAH3/8RU=")</f>
        <v>#VALUE!</v>
      </c>
      <c r="W19" t="e">
        <f>AND('1-5 Vdc'!L12,"AAAAAH3/8RY=")</f>
        <v>#VALUE!</v>
      </c>
      <c r="X19" t="e">
        <f>AND('1-5 Vdc'!M12,"AAAAAH3/8Rc=")</f>
        <v>#VALUE!</v>
      </c>
      <c r="Y19" t="e">
        <f>AND('1-5 Vdc'!L13,"AAAAAH3/8Rg=")</f>
        <v>#VALUE!</v>
      </c>
      <c r="Z19" t="e">
        <f>AND('1-5 Vdc'!M13,"AAAAAH3/8Rk=")</f>
        <v>#VALUE!</v>
      </c>
      <c r="AA19" t="e">
        <f>AND('1-5 Vdc'!L14,"AAAAAH3/8Ro=")</f>
        <v>#VALUE!</v>
      </c>
      <c r="AB19" t="e">
        <f>AND('1-5 Vdc'!M14,"AAAAAH3/8Rs=")</f>
        <v>#VALUE!</v>
      </c>
      <c r="AC19" t="e">
        <f>AND('1-5 Vdc'!L15,"AAAAAH3/8Rw=")</f>
        <v>#VALUE!</v>
      </c>
      <c r="AD19" t="e">
        <f>AND('1-5 Vdc'!M15,"AAAAAH3/8R0=")</f>
        <v>#VALUE!</v>
      </c>
      <c r="AE19" t="e">
        <f>AND('1-5 Vdc'!L16,"AAAAAH3/8R4=")</f>
        <v>#VALUE!</v>
      </c>
      <c r="AF19" t="e">
        <f>AND('1-5 Vdc'!M16,"AAAAAH3/8R8=")</f>
        <v>#VALUE!</v>
      </c>
      <c r="AG19" t="e">
        <f>AND('1-5 Vdc'!L17,"AAAAAH3/8SA=")</f>
        <v>#VALUE!</v>
      </c>
      <c r="AH19" t="e">
        <f>AND('1-5 Vdc'!M17,"AAAAAH3/8SE=")</f>
        <v>#VALUE!</v>
      </c>
      <c r="AI19" t="e">
        <f>AND('1-5 Vdc'!L18,"AAAAAH3/8SI=")</f>
        <v>#VALUE!</v>
      </c>
      <c r="AJ19" t="e">
        <f>AND('1-5 Vdc'!M18,"AAAAAH3/8SM=")</f>
        <v>#VALUE!</v>
      </c>
      <c r="AK19" t="e">
        <f>AND('1-5 Vdc'!L19,"AAAAAH3/8SQ=")</f>
        <v>#VALUE!</v>
      </c>
      <c r="AL19" t="e">
        <f>AND('1-5 Vdc'!M19,"AAAAAH3/8SU=")</f>
        <v>#VALUE!</v>
      </c>
      <c r="AM19" t="e">
        <f>AND('1-5 Vdc'!L20,"AAAAAH3/8SY=")</f>
        <v>#VALUE!</v>
      </c>
      <c r="AN19" t="e">
        <f>AND('1-5 Vdc'!M20,"AAAAAH3/8Sc=")</f>
        <v>#VALUE!</v>
      </c>
      <c r="AO19" t="e">
        <f>AND('1-5 Vdc'!L21,"AAAAAH3/8Sg=")</f>
        <v>#VALUE!</v>
      </c>
      <c r="AP19" t="e">
        <f>AND('1-5 Vdc'!M21,"AAAAAH3/8Sk=")</f>
        <v>#VALUE!</v>
      </c>
      <c r="AQ19" t="e">
        <f>AND('1-5 Vdc'!L22,"AAAAAH3/8So=")</f>
        <v>#VALUE!</v>
      </c>
      <c r="AR19" t="e">
        <f>AND('1-5 Vdc'!M22,"AAAAAH3/8Ss=")</f>
        <v>#VALUE!</v>
      </c>
      <c r="AS19" t="e">
        <f>AND('1-5 Vdc'!L23,"AAAAAH3/8Sw=")</f>
        <v>#VALUE!</v>
      </c>
      <c r="AT19" t="e">
        <f>AND('1-5 Vdc'!M23,"AAAAAH3/8S0=")</f>
        <v>#VALUE!</v>
      </c>
      <c r="AU19" t="e">
        <f>AND('1-5 Vdc'!L24,"AAAAAH3/8S4=")</f>
        <v>#VALUE!</v>
      </c>
      <c r="AV19" t="e">
        <f>AND('1-5 Vdc'!M24,"AAAAAH3/8S8=")</f>
        <v>#VALUE!</v>
      </c>
      <c r="AW19" t="e">
        <f>AND('1-5 Vdc'!L25,"AAAAAH3/8TA=")</f>
        <v>#VALUE!</v>
      </c>
      <c r="AX19" t="e">
        <f>AND('1-5 Vdc'!M25,"AAAAAH3/8TE=")</f>
        <v>#VALUE!</v>
      </c>
      <c r="AY19" t="e">
        <f>AND('1-5 Vdc'!L26,"AAAAAH3/8TI=")</f>
        <v>#VALUE!</v>
      </c>
      <c r="AZ19" t="e">
        <f>AND('1-5 Vdc'!M26,"AAAAAH3/8TM=")</f>
        <v>#VALUE!</v>
      </c>
      <c r="BA19" t="e">
        <f>AND('1-5 Vdc'!L27,"AAAAAH3/8TQ=")</f>
        <v>#VALUE!</v>
      </c>
      <c r="BB19" t="e">
        <f>AND('1-5 Vdc'!M27,"AAAAAH3/8TU=")</f>
        <v>#VALUE!</v>
      </c>
      <c r="BC19" t="e">
        <f>AND('1-5 Vdc'!L28,"AAAAAH3/8TY=")</f>
        <v>#VALUE!</v>
      </c>
      <c r="BD19" t="e">
        <f>AND('1-5 Vdc'!M28,"AAAAAH3/8Tc=")</f>
        <v>#VALUE!</v>
      </c>
      <c r="BE19" t="e">
        <f>AND('1-5 Vdc'!L29,"AAAAAH3/8Tg=")</f>
        <v>#VALUE!</v>
      </c>
      <c r="BF19" t="e">
        <f>AND('1-5 Vdc'!M29,"AAAAAH3/8Tk=")</f>
        <v>#VALUE!</v>
      </c>
      <c r="BG19" t="e">
        <f>AND('1-5 Vdc'!L30,"AAAAAH3/8To=")</f>
        <v>#VALUE!</v>
      </c>
      <c r="BH19" t="e">
        <f>AND('1-5 Vdc'!M30,"AAAAAH3/8Ts=")</f>
        <v>#VALUE!</v>
      </c>
      <c r="BI19" t="e">
        <f>AND('1-5 Vdc'!L31,"AAAAAH3/8Tw=")</f>
        <v>#VALUE!</v>
      </c>
      <c r="BJ19" t="e">
        <f>AND('1-5 Vdc'!M31,"AAAAAH3/8T0=")</f>
        <v>#VALUE!</v>
      </c>
      <c r="BK19" t="e">
        <f>AND('1-5 Vdc'!L32,"AAAAAH3/8T4=")</f>
        <v>#VALUE!</v>
      </c>
      <c r="BL19" t="e">
        <f>AND('1-5 Vdc'!M32,"AAAAAH3/8T8=")</f>
        <v>#VALUE!</v>
      </c>
      <c r="BM19" t="e">
        <f>AND('1-5 Vdc'!L33,"AAAAAH3/8UA=")</f>
        <v>#VALUE!</v>
      </c>
      <c r="BN19" t="e">
        <f>AND('1-5 Vdc'!M33,"AAAAAH3/8UE=")</f>
        <v>#VALUE!</v>
      </c>
      <c r="BO19" t="e">
        <f>AND('1-5 Vdc'!L34,"AAAAAH3/8UI=")</f>
        <v>#VALUE!</v>
      </c>
      <c r="BP19" t="e">
        <f>AND('1-5 Vdc'!M34,"AAAAAH3/8UM=")</f>
        <v>#VALUE!</v>
      </c>
      <c r="BQ19" t="e">
        <f>AND('1-5 Vdc'!L35,"AAAAAH3/8UQ=")</f>
        <v>#VALUE!</v>
      </c>
      <c r="BR19" t="e">
        <f>AND('1-5 Vdc'!M35,"AAAAAH3/8UU=")</f>
        <v>#VALUE!</v>
      </c>
      <c r="BS19">
        <f>IF('1-5 Vdc'!L:L,"AAAAAH3/8UY=",0)</f>
        <v>0</v>
      </c>
      <c r="BT19">
        <f>IF('1-5 Vdc'!M:M,"AAAAAH3/8Uc=",0)</f>
        <v>0</v>
      </c>
    </row>
    <row r="20" spans="1:121">
      <c r="A20" t="e">
        <f>AND(Units!#REF!,"AAAAAD7r/gA=")</f>
        <v>#REF!</v>
      </c>
      <c r="B20" t="e">
        <f>AND(Units!#REF!,"AAAAAD7r/gE=")</f>
        <v>#REF!</v>
      </c>
      <c r="C20" t="e">
        <f>AND(Units!#REF!,"AAAAAD7r/gI=")</f>
        <v>#REF!</v>
      </c>
      <c r="D20" t="e">
        <f>AND(Units!#REF!,"AAAAAD7r/gM=")</f>
        <v>#REF!</v>
      </c>
      <c r="E20" t="e">
        <f>AND(Units!A4,"AAAAAD7r/gQ=")</f>
        <v>#VALUE!</v>
      </c>
      <c r="F20" t="e">
        <f>AND(Units!#REF!,"AAAAAD7r/gU=")</f>
        <v>#REF!</v>
      </c>
      <c r="G20" t="e">
        <f>AND(Units!#REF!,"AAAAAD7r/gY=")</f>
        <v>#REF!</v>
      </c>
      <c r="H20" t="e">
        <f>AND(Units!#REF!,"AAAAAD7r/gc=")</f>
        <v>#REF!</v>
      </c>
      <c r="I20" t="e">
        <f>AND(Units!#REF!,"AAAAAD7r/gg=")</f>
        <v>#REF!</v>
      </c>
      <c r="J20" t="e">
        <f>AND(Units!A5,"AAAAAD7r/gk=")</f>
        <v>#VALUE!</v>
      </c>
      <c r="K20" t="e">
        <f>AND(Units!#REF!,"AAAAAD7r/go=")</f>
        <v>#REF!</v>
      </c>
      <c r="L20" t="e">
        <f>AND(Units!#REF!,"AAAAAD7r/gs=")</f>
        <v>#REF!</v>
      </c>
      <c r="M20" t="e">
        <f>AND(Units!#REF!,"AAAAAD7r/gw=")</f>
        <v>#REF!</v>
      </c>
      <c r="N20" t="e">
        <f>AND(Units!#REF!,"AAAAAD7r/g0=")</f>
        <v>#REF!</v>
      </c>
      <c r="O20" t="e">
        <f>AND(Units!A6,"AAAAAD7r/g4=")</f>
        <v>#VALUE!</v>
      </c>
      <c r="P20" t="e">
        <f>AND(Units!#REF!,"AAAAAD7r/g8=")</f>
        <v>#REF!</v>
      </c>
      <c r="Q20" t="e">
        <f>AND(Units!#REF!,"AAAAAD7r/hA=")</f>
        <v>#REF!</v>
      </c>
      <c r="R20" t="e">
        <f>AND(Units!#REF!,"AAAAAD7r/hE=")</f>
        <v>#REF!</v>
      </c>
      <c r="S20" t="e">
        <f>AND(Units!#REF!,"AAAAAD7r/hI=")</f>
        <v>#REF!</v>
      </c>
      <c r="T20" t="e">
        <f>AND(Units!A7,"AAAAAD7r/hM=")</f>
        <v>#VALUE!</v>
      </c>
      <c r="U20" t="e">
        <f>AND(Units!#REF!,"AAAAAD7r/hQ=")</f>
        <v>#REF!</v>
      </c>
      <c r="V20" t="e">
        <f>AND(Units!#REF!,"AAAAAD7r/hU=")</f>
        <v>#REF!</v>
      </c>
      <c r="W20" t="e">
        <f>AND(Units!#REF!,"AAAAAD7r/hY=")</f>
        <v>#REF!</v>
      </c>
      <c r="X20" t="e">
        <f>AND(Units!#REF!,"AAAAAD7r/hc=")</f>
        <v>#REF!</v>
      </c>
      <c r="Y20" t="e">
        <f>AND(Units!A8,"AAAAAD7r/hg=")</f>
        <v>#VALUE!</v>
      </c>
      <c r="Z20" t="e">
        <f>AND(Units!#REF!,"AAAAAD7r/hk=")</f>
        <v>#REF!</v>
      </c>
      <c r="AA20" t="e">
        <f>AND(Units!#REF!,"AAAAAD7r/ho=")</f>
        <v>#REF!</v>
      </c>
      <c r="AB20" t="e">
        <f>AND(Units!#REF!,"AAAAAD7r/hs=")</f>
        <v>#REF!</v>
      </c>
      <c r="AC20" t="e">
        <f>AND(Units!#REF!,"AAAAAD7r/hw=")</f>
        <v>#REF!</v>
      </c>
      <c r="AD20" t="e">
        <f>AND(Units!A9,"AAAAAD7r/h0=")</f>
        <v>#VALUE!</v>
      </c>
      <c r="AE20" t="e">
        <f>AND(Units!#REF!,"AAAAAD7r/h4=")</f>
        <v>#REF!</v>
      </c>
      <c r="AF20" t="e">
        <f>AND(Units!#REF!,"AAAAAD7r/h8=")</f>
        <v>#REF!</v>
      </c>
      <c r="AG20" t="e">
        <f>AND(Units!#REF!,"AAAAAD7r/iA=")</f>
        <v>#REF!</v>
      </c>
      <c r="AH20" t="e">
        <f>AND(Units!#REF!,"AAAAAD7r/iE=")</f>
        <v>#REF!</v>
      </c>
      <c r="AI20" t="e">
        <f>AND(Units!A10,"AAAAAD7r/iI=")</f>
        <v>#VALUE!</v>
      </c>
      <c r="AJ20" t="e">
        <f>AND(Units!#REF!,"AAAAAD7r/iM=")</f>
        <v>#REF!</v>
      </c>
      <c r="AK20" t="e">
        <f>AND(Units!#REF!,"AAAAAD7r/iQ=")</f>
        <v>#REF!</v>
      </c>
      <c r="AL20" t="e">
        <f>AND(Units!#REF!,"AAAAAD7r/iU=")</f>
        <v>#REF!</v>
      </c>
      <c r="AM20" t="e">
        <f>AND(Units!#REF!,"AAAAAD7r/iY=")</f>
        <v>#REF!</v>
      </c>
      <c r="AN20" t="e">
        <f>AND(Units!A11,"AAAAAD7r/ic=")</f>
        <v>#VALUE!</v>
      </c>
      <c r="AO20" t="e">
        <f>AND(Units!#REF!,"AAAAAD7r/ig=")</f>
        <v>#REF!</v>
      </c>
      <c r="AP20" t="e">
        <f>AND(Units!#REF!,"AAAAAD7r/ik=")</f>
        <v>#REF!</v>
      </c>
      <c r="AQ20" t="e">
        <f>AND(Units!#REF!,"AAAAAD7r/io=")</f>
        <v>#REF!</v>
      </c>
      <c r="AR20" t="e">
        <f>AND(Units!#REF!,"AAAAAD7r/is=")</f>
        <v>#REF!</v>
      </c>
      <c r="AS20" t="e">
        <f>AND(Units!A12,"AAAAAD7r/iw=")</f>
        <v>#VALUE!</v>
      </c>
      <c r="AT20" t="e">
        <f>AND(Units!#REF!,"AAAAAD7r/i0=")</f>
        <v>#REF!</v>
      </c>
      <c r="AU20" t="e">
        <f>AND(Units!#REF!,"AAAAAD7r/i4=")</f>
        <v>#REF!</v>
      </c>
      <c r="AV20" t="e">
        <f>AND(Units!#REF!,"AAAAAD7r/i8=")</f>
        <v>#REF!</v>
      </c>
      <c r="AW20" t="e">
        <f>AND(Units!#REF!,"AAAAAD7r/jA=")</f>
        <v>#REF!</v>
      </c>
      <c r="AX20" t="e">
        <f>AND(Units!A13,"AAAAAD7r/jE=")</f>
        <v>#VALUE!</v>
      </c>
      <c r="AY20" t="e">
        <f>AND(Units!#REF!,"AAAAAD7r/jI=")</f>
        <v>#REF!</v>
      </c>
      <c r="AZ20" t="e">
        <f>AND(Units!#REF!,"AAAAAD7r/jM=")</f>
        <v>#REF!</v>
      </c>
      <c r="BA20" t="e">
        <f>AND(Units!#REF!,"AAAAAD7r/jQ=")</f>
        <v>#REF!</v>
      </c>
      <c r="BB20" t="e">
        <f>AND(Units!#REF!,"AAAAAD7r/jU=")</f>
        <v>#REF!</v>
      </c>
      <c r="BC20" t="e">
        <f>AND(Units!A14,"AAAAAD7r/jY=")</f>
        <v>#VALUE!</v>
      </c>
      <c r="BD20" t="e">
        <f>AND(Units!#REF!,"AAAAAD7r/jc=")</f>
        <v>#REF!</v>
      </c>
      <c r="BE20" t="e">
        <f>AND(Units!#REF!,"AAAAAD7r/jg=")</f>
        <v>#REF!</v>
      </c>
      <c r="BF20" t="e">
        <f>AND(Units!#REF!,"AAAAAD7r/jk=")</f>
        <v>#REF!</v>
      </c>
      <c r="BG20" t="e">
        <f>AND(Units!#REF!,"AAAAAD7r/jo=")</f>
        <v>#REF!</v>
      </c>
      <c r="BH20" t="e">
        <f>AND(Units!A15,"AAAAAD7r/js=")</f>
        <v>#VALUE!</v>
      </c>
      <c r="BI20" t="e">
        <f>AND(Units!#REF!,"AAAAAD7r/jw=")</f>
        <v>#REF!</v>
      </c>
      <c r="BJ20" t="e">
        <f>AND(Units!#REF!,"AAAAAD7r/j0=")</f>
        <v>#REF!</v>
      </c>
      <c r="BK20" t="e">
        <f>AND(Units!#REF!,"AAAAAD7r/j4=")</f>
        <v>#REF!</v>
      </c>
      <c r="BL20" t="e">
        <f>AND(Units!#REF!,"AAAAAD7r/j8=")</f>
        <v>#REF!</v>
      </c>
      <c r="BM20" t="e">
        <f>AND(Units!A16,"AAAAAD7r/kA=")</f>
        <v>#VALUE!</v>
      </c>
      <c r="BN20" t="e">
        <f>AND(Units!#REF!,"AAAAAD7r/kE=")</f>
        <v>#REF!</v>
      </c>
      <c r="BO20" t="e">
        <f>AND(Units!#REF!,"AAAAAD7r/kI=")</f>
        <v>#REF!</v>
      </c>
      <c r="BP20" t="e">
        <f>AND(Units!#REF!,"AAAAAD7r/kM=")</f>
        <v>#REF!</v>
      </c>
      <c r="BQ20" t="e">
        <f>AND(Units!#REF!,"AAAAAD7r/kQ=")</f>
        <v>#REF!</v>
      </c>
      <c r="BR20" t="e">
        <f>AND(Units!A17,"AAAAAD7r/kU=")</f>
        <v>#VALUE!</v>
      </c>
      <c r="BS20" t="e">
        <f>AND(Units!#REF!,"AAAAAD7r/kY=")</f>
        <v>#REF!</v>
      </c>
      <c r="BT20" t="e">
        <f>AND(Units!#REF!,"AAAAAD7r/kc=")</f>
        <v>#REF!</v>
      </c>
      <c r="BU20" t="e">
        <f>AND(Units!#REF!,"AAAAAD7r/kg=")</f>
        <v>#REF!</v>
      </c>
      <c r="BV20" t="e">
        <f>AND(Units!#REF!,"AAAAAD7r/kk=")</f>
        <v>#REF!</v>
      </c>
      <c r="BW20" t="e">
        <f>AND(Units!A18,"AAAAAD7r/ko=")</f>
        <v>#VALUE!</v>
      </c>
      <c r="BX20" t="e">
        <f>AND(Units!#REF!,"AAAAAD7r/ks=")</f>
        <v>#REF!</v>
      </c>
      <c r="BY20" t="e">
        <f>AND(Units!#REF!,"AAAAAD7r/kw=")</f>
        <v>#REF!</v>
      </c>
      <c r="BZ20" t="e">
        <f>AND(Units!#REF!,"AAAAAD7r/k0=")</f>
        <v>#REF!</v>
      </c>
      <c r="CA20" t="e">
        <f>AND(Units!#REF!,"AAAAAD7r/k4=")</f>
        <v>#REF!</v>
      </c>
      <c r="CB20" t="e">
        <f>AND(Units!A19,"AAAAAD7r/k8=")</f>
        <v>#VALUE!</v>
      </c>
      <c r="CC20" t="e">
        <f>AND(Units!#REF!,"AAAAAD7r/lA=")</f>
        <v>#REF!</v>
      </c>
      <c r="CD20" t="e">
        <f>AND(Units!#REF!,"AAAAAD7r/lE=")</f>
        <v>#REF!</v>
      </c>
      <c r="CE20" t="e">
        <f>AND(Units!#REF!,"AAAAAD7r/lI=")</f>
        <v>#REF!</v>
      </c>
      <c r="CF20" t="e">
        <f>AND(Units!#REF!,"AAAAAD7r/lM=")</f>
        <v>#REF!</v>
      </c>
      <c r="CG20" t="e">
        <f>AND(Units!A20,"AAAAAD7r/lQ=")</f>
        <v>#VALUE!</v>
      </c>
      <c r="CH20" t="e">
        <f>AND(Units!#REF!,"AAAAAD7r/lU=")</f>
        <v>#REF!</v>
      </c>
      <c r="CI20" t="e">
        <f>AND(Units!#REF!,"AAAAAD7r/lY=")</f>
        <v>#REF!</v>
      </c>
      <c r="CJ20" t="e">
        <f>AND(Units!#REF!,"AAAAAD7r/lc=")</f>
        <v>#REF!</v>
      </c>
      <c r="CK20" t="e">
        <f>AND(Units!#REF!,"AAAAAD7r/lg=")</f>
        <v>#REF!</v>
      </c>
      <c r="CL20" t="e">
        <f>AND(Units!A21,"AAAAAD7r/lk=")</f>
        <v>#VALUE!</v>
      </c>
      <c r="CM20" t="e">
        <f>AND(Units!#REF!,"AAAAAD7r/lo=")</f>
        <v>#REF!</v>
      </c>
      <c r="CN20" t="e">
        <f>AND(Units!#REF!,"AAAAAD7r/ls=")</f>
        <v>#REF!</v>
      </c>
      <c r="CO20" t="e">
        <f>AND(Units!#REF!,"AAAAAD7r/lw=")</f>
        <v>#REF!</v>
      </c>
      <c r="CP20" t="e">
        <f>AND(Units!#REF!,"AAAAAD7r/l0=")</f>
        <v>#REF!</v>
      </c>
      <c r="CQ20" t="e">
        <f>AND(Units!A22,"AAAAAD7r/l4=")</f>
        <v>#VALUE!</v>
      </c>
      <c r="CR20" t="e">
        <f>AND(Units!#REF!,"AAAAAD7r/l8=")</f>
        <v>#REF!</v>
      </c>
      <c r="CS20" t="e">
        <f>AND(Units!#REF!,"AAAAAD7r/mA=")</f>
        <v>#REF!</v>
      </c>
      <c r="CT20" t="e">
        <f>AND(Units!#REF!,"AAAAAD7r/mE=")</f>
        <v>#REF!</v>
      </c>
      <c r="CU20" t="e">
        <f>AND(Units!#REF!,"AAAAAD7r/mI=")</f>
        <v>#REF!</v>
      </c>
      <c r="CV20" t="e">
        <f>AND(Units!A23,"AAAAAD7r/mM=")</f>
        <v>#VALUE!</v>
      </c>
      <c r="CW20" t="e">
        <f>AND(Units!#REF!,"AAAAAD7r/mQ=")</f>
        <v>#REF!</v>
      </c>
      <c r="CX20" t="e">
        <f>AND(Units!#REF!,"AAAAAD7r/mU=")</f>
        <v>#REF!</v>
      </c>
      <c r="CY20" t="e">
        <f>AND(Units!#REF!,"AAAAAD7r/mY=")</f>
        <v>#REF!</v>
      </c>
      <c r="CZ20" t="e">
        <f>AND(Units!#REF!,"AAAAAD7r/mc=")</f>
        <v>#REF!</v>
      </c>
      <c r="DA20" t="e">
        <f>AND(Units!A24,"AAAAAD7r/mg=")</f>
        <v>#VALUE!</v>
      </c>
      <c r="DB20" t="e">
        <f>AND(Units!#REF!,"AAAAAD7r/mk=")</f>
        <v>#REF!</v>
      </c>
      <c r="DC20" t="e">
        <f>AND(Units!#REF!,"AAAAAD7r/mo=")</f>
        <v>#REF!</v>
      </c>
      <c r="DD20" t="e">
        <f>AND(Units!#REF!,"AAAAAD7r/ms=")</f>
        <v>#REF!</v>
      </c>
      <c r="DE20" t="e">
        <f>AND(Units!#REF!,"AAAAAD7r/mw=")</f>
        <v>#REF!</v>
      </c>
      <c r="DF20" t="e">
        <f>AND(Units!A25,"AAAAAD7r/m0=")</f>
        <v>#VALUE!</v>
      </c>
      <c r="DG20" t="e">
        <f>AND(Units!#REF!,"AAAAAD7r/m4=")</f>
        <v>#REF!</v>
      </c>
      <c r="DH20" t="e">
        <f>AND(Units!#REF!,"AAAAAD7r/m8=")</f>
        <v>#REF!</v>
      </c>
      <c r="DI20" t="e">
        <f>AND(Units!#REF!,"AAAAAD7r/nA=")</f>
        <v>#REF!</v>
      </c>
      <c r="DJ20" t="e">
        <f>AND(Units!#REF!,"AAAAAD7r/nE=")</f>
        <v>#REF!</v>
      </c>
      <c r="DK20" t="e">
        <f>AND(Units!A26,"AAAAAD7r/nI=")</f>
        <v>#VALUE!</v>
      </c>
      <c r="DL20" t="e">
        <f>AND(Units!#REF!,"AAAAAD7r/nM=")</f>
        <v>#REF!</v>
      </c>
      <c r="DM20" t="e">
        <f>AND(Units!#REF!,"AAAAAD7r/nQ=")</f>
        <v>#REF!</v>
      </c>
      <c r="DN20" t="e">
        <f>AND(Units!#REF!,"AAAAAD7r/nU=")</f>
        <v>#REF!</v>
      </c>
      <c r="DO20" t="e">
        <f>AND(Units!#REF!,"AAAAAD7r/nY=")</f>
        <v>#REF!</v>
      </c>
      <c r="DP20" t="e">
        <f>IF(Units!#REF!,"AAAAAD7r/nc=",0)</f>
        <v>#REF!</v>
      </c>
      <c r="DQ20" t="e">
        <f>IF(Units!#REF!,"AAAAAD7r/ng=",0)</f>
        <v>#REF!</v>
      </c>
    </row>
    <row r="21" spans="1:121">
      <c r="A21">
        <f>IF(Units!1:1,"AAAAAH9h/QA=",0)</f>
        <v>0</v>
      </c>
      <c r="B21" t="e">
        <f>AND(Units!A1,"AAAAAH9h/QE=")</f>
        <v>#VALUE!</v>
      </c>
      <c r="C21" t="e">
        <f>AND(Units!#REF!,"AAAAAH9h/QI=")</f>
        <v>#REF!</v>
      </c>
      <c r="D21" t="e">
        <f>AND(Units!#REF!,"AAAAAH9h/QM=")</f>
        <v>#REF!</v>
      </c>
      <c r="E21" t="e">
        <f>AND(Units!#REF!,"AAAAAH9h/QQ=")</f>
        <v>#REF!</v>
      </c>
      <c r="F21" t="e">
        <f>AND(Units!#REF!,"AAAAAH9h/QU=")</f>
        <v>#REF!</v>
      </c>
    </row>
    <row r="22" spans="1:121">
      <c r="A22" t="e">
        <f>IF(#REF!,"AAAAAF/t+gA=",0)</f>
        <v>#REF!</v>
      </c>
      <c r="B22" t="e">
        <f>AND(#REF!,"AAAAAF/t+gE=")</f>
        <v>#REF!</v>
      </c>
      <c r="C22" t="e">
        <f>IF(#REF!,"AAAAAF/t+gI=",0)</f>
        <v>#REF!</v>
      </c>
    </row>
  </sheetData>
  <pageMargins left="0.7" right="0.7" top="0.75" bottom="0.75" header="0.3" footer="0.3"/>
  <customProperties>
    <customPr name="DVSECTION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"/>
  <dimension ref="A1:J34"/>
  <sheetViews>
    <sheetView workbookViewId="0">
      <selection activeCell="I4" sqref="I4"/>
    </sheetView>
  </sheetViews>
  <sheetFormatPr defaultColWidth="8.75" defaultRowHeight="12"/>
  <cols>
    <col min="1" max="1" width="10.125" style="35" bestFit="1" customWidth="1"/>
    <col min="2" max="2" width="4.125" style="14" bestFit="1" customWidth="1"/>
    <col min="3" max="4" width="13.25" style="14" bestFit="1" customWidth="1"/>
    <col min="5" max="5" width="11.125" style="14" bestFit="1" customWidth="1"/>
    <col min="6" max="6" width="10.125" style="14" bestFit="1" customWidth="1"/>
    <col min="7" max="7" width="11.125" style="14" bestFit="1" customWidth="1"/>
    <col min="8" max="8" width="10.125" style="14" bestFit="1" customWidth="1"/>
    <col min="9" max="9" width="17.25" style="16" bestFit="1" customWidth="1"/>
    <col min="10" max="16384" width="8.75" style="14"/>
  </cols>
  <sheetData>
    <row r="1" spans="1:10" s="12" customFormat="1">
      <c r="A1" s="116" t="s">
        <v>13</v>
      </c>
      <c r="B1" s="117"/>
      <c r="C1" s="117"/>
      <c r="D1" s="117"/>
      <c r="E1" s="117"/>
      <c r="F1" s="117"/>
      <c r="G1" s="117"/>
      <c r="H1" s="117"/>
      <c r="I1" s="118"/>
      <c r="J1" s="65"/>
    </row>
    <row r="2" spans="1:10" ht="12.75">
      <c r="A2" s="31" t="s">
        <v>10</v>
      </c>
      <c r="C2" s="14" t="s">
        <v>2</v>
      </c>
      <c r="D2" s="14" t="s">
        <v>3</v>
      </c>
      <c r="E2" s="14" t="s">
        <v>103</v>
      </c>
      <c r="F2" s="14" t="s">
        <v>101</v>
      </c>
      <c r="G2" s="14" t="s">
        <v>102</v>
      </c>
      <c r="H2" s="14" t="s">
        <v>100</v>
      </c>
      <c r="J2" s="17"/>
    </row>
    <row r="3" spans="1:10">
      <c r="A3" s="31">
        <v>100</v>
      </c>
      <c r="B3" s="14" t="s">
        <v>0</v>
      </c>
      <c r="C3" s="18">
        <v>250</v>
      </c>
      <c r="D3" s="19">
        <v>15</v>
      </c>
      <c r="E3" s="20">
        <v>15</v>
      </c>
      <c r="F3" s="99">
        <f>(E3-D3)/12*100</f>
        <v>0</v>
      </c>
      <c r="G3" s="20">
        <v>15</v>
      </c>
      <c r="H3" s="99">
        <f>(G3-D3)/12*100</f>
        <v>0</v>
      </c>
      <c r="I3" s="11" t="s">
        <v>9</v>
      </c>
      <c r="J3" s="17"/>
    </row>
    <row r="4" spans="1:10">
      <c r="A4" s="31">
        <v>75</v>
      </c>
      <c r="C4" s="16">
        <f>(C3-C7)/4+C5</f>
        <v>187.5</v>
      </c>
      <c r="D4" s="19">
        <v>12</v>
      </c>
      <c r="E4" s="20">
        <v>12.02</v>
      </c>
      <c r="F4" s="99">
        <f t="shared" ref="F4:F7" si="0">(E4-D4)/12*100</f>
        <v>0.16666666666666313</v>
      </c>
      <c r="G4" s="20">
        <v>12</v>
      </c>
      <c r="H4" s="99">
        <f t="shared" ref="H4:H7" si="1">(G4-D4)/12*100</f>
        <v>0</v>
      </c>
      <c r="I4" s="104" t="str">
        <f>IF(D8&gt;G8,"FAIL","PASS")</f>
        <v>PASS</v>
      </c>
      <c r="J4" s="17"/>
    </row>
    <row r="5" spans="1:10">
      <c r="A5" s="31">
        <v>50</v>
      </c>
      <c r="C5" s="16">
        <f>(C3-C7)/4+C6</f>
        <v>125</v>
      </c>
      <c r="D5" s="19">
        <v>9</v>
      </c>
      <c r="E5" s="20">
        <v>9</v>
      </c>
      <c r="F5" s="99">
        <f t="shared" si="0"/>
        <v>0</v>
      </c>
      <c r="G5" s="20">
        <v>9</v>
      </c>
      <c r="H5" s="99">
        <f t="shared" si="1"/>
        <v>0</v>
      </c>
      <c r="I5" s="11" t="s">
        <v>12</v>
      </c>
      <c r="J5" s="17"/>
    </row>
    <row r="6" spans="1:10">
      <c r="A6" s="31">
        <v>25</v>
      </c>
      <c r="C6" s="16">
        <f>(C3-C7)/4+C7</f>
        <v>62.5</v>
      </c>
      <c r="D6" s="19">
        <v>6</v>
      </c>
      <c r="E6" s="20">
        <v>6</v>
      </c>
      <c r="F6" s="99">
        <f t="shared" si="0"/>
        <v>0</v>
      </c>
      <c r="G6" s="20">
        <v>6</v>
      </c>
      <c r="H6" s="99">
        <f t="shared" si="1"/>
        <v>0</v>
      </c>
      <c r="I6" s="21">
        <f>((MAX(C3,C7))-(MIN(C3,C7)))*D8/100</f>
        <v>4.1666666666665783E-2</v>
      </c>
      <c r="J6" s="17"/>
    </row>
    <row r="7" spans="1:10">
      <c r="A7" s="31">
        <v>0</v>
      </c>
      <c r="B7" s="14" t="s">
        <v>1</v>
      </c>
      <c r="C7" s="18">
        <v>0</v>
      </c>
      <c r="D7" s="19">
        <v>3</v>
      </c>
      <c r="E7" s="20">
        <v>3</v>
      </c>
      <c r="F7" s="99">
        <f t="shared" si="0"/>
        <v>0</v>
      </c>
      <c r="G7" s="20">
        <v>3</v>
      </c>
      <c r="H7" s="99">
        <f t="shared" si="1"/>
        <v>0</v>
      </c>
      <c r="I7" s="11" t="s">
        <v>24</v>
      </c>
      <c r="J7" s="17"/>
    </row>
    <row r="8" spans="1:10">
      <c r="A8" s="134" t="s">
        <v>6</v>
      </c>
      <c r="B8" s="134"/>
      <c r="C8" s="134"/>
      <c r="D8" s="98">
        <f>AVERAGE(F3:F7,H3:H7)</f>
        <v>1.6666666666666313E-2</v>
      </c>
      <c r="E8" s="133" t="s">
        <v>7</v>
      </c>
      <c r="F8" s="133"/>
      <c r="G8" s="23">
        <v>0.2</v>
      </c>
      <c r="I8" s="103" t="s">
        <v>92</v>
      </c>
      <c r="J8" s="17"/>
    </row>
    <row r="9" spans="1:10" ht="13.9" customHeight="1">
      <c r="A9" s="135" t="s">
        <v>104</v>
      </c>
      <c r="B9" s="136"/>
      <c r="C9" s="137"/>
      <c r="D9" s="138" t="s">
        <v>105</v>
      </c>
      <c r="E9" s="139"/>
      <c r="F9" s="138" t="s">
        <v>107</v>
      </c>
      <c r="G9" s="139"/>
      <c r="H9" s="138" t="s">
        <v>106</v>
      </c>
      <c r="I9" s="139"/>
      <c r="J9" s="17"/>
    </row>
    <row r="10" spans="1:10">
      <c r="A10" s="32"/>
      <c r="B10" s="27"/>
      <c r="C10" s="27"/>
      <c r="D10" s="27"/>
      <c r="E10" s="27"/>
      <c r="F10" s="27"/>
      <c r="G10" s="27"/>
      <c r="H10" s="27"/>
      <c r="I10" s="24"/>
      <c r="J10" s="17"/>
    </row>
    <row r="11" spans="1:10">
      <c r="A11" s="33"/>
      <c r="B11" s="27"/>
      <c r="C11" s="27"/>
      <c r="D11" s="27"/>
      <c r="E11" s="27"/>
      <c r="F11" s="27"/>
      <c r="G11" s="27"/>
      <c r="H11" s="27"/>
      <c r="I11" s="24"/>
      <c r="J11" s="17"/>
    </row>
    <row r="12" spans="1:10">
      <c r="A12" s="33"/>
      <c r="B12" s="27"/>
      <c r="C12" s="27"/>
      <c r="D12" s="27"/>
      <c r="E12" s="27"/>
      <c r="F12" s="27"/>
      <c r="G12" s="27"/>
      <c r="H12" s="27"/>
      <c r="I12" s="24"/>
      <c r="J12" s="17"/>
    </row>
    <row r="13" spans="1:10">
      <c r="A13" s="32"/>
      <c r="B13" s="27"/>
      <c r="C13" s="27"/>
      <c r="D13" s="27"/>
      <c r="E13" s="27"/>
      <c r="F13" s="27"/>
      <c r="G13" s="27"/>
      <c r="H13" s="27"/>
      <c r="I13" s="24"/>
      <c r="J13" s="17"/>
    </row>
    <row r="14" spans="1:10">
      <c r="A14" s="32"/>
      <c r="B14" s="27"/>
      <c r="C14" s="27"/>
      <c r="D14" s="27"/>
      <c r="E14" s="27"/>
      <c r="F14" s="27"/>
      <c r="G14" s="27"/>
      <c r="H14" s="27"/>
      <c r="I14" s="24"/>
      <c r="J14" s="17"/>
    </row>
    <row r="15" spans="1:10">
      <c r="A15" s="32"/>
      <c r="B15" s="27"/>
      <c r="C15" s="27"/>
      <c r="D15" s="27"/>
      <c r="E15" s="27"/>
      <c r="F15" s="27"/>
      <c r="G15" s="27"/>
      <c r="H15" s="27"/>
      <c r="I15" s="24"/>
      <c r="J15" s="17"/>
    </row>
    <row r="16" spans="1:10">
      <c r="A16" s="32"/>
      <c r="B16" s="27"/>
      <c r="C16" s="27"/>
      <c r="D16" s="27"/>
      <c r="E16" s="27"/>
      <c r="F16" s="27"/>
      <c r="G16" s="27"/>
      <c r="H16" s="27"/>
      <c r="I16" s="24"/>
      <c r="J16" s="17"/>
    </row>
    <row r="17" spans="1:10">
      <c r="A17" s="32"/>
      <c r="B17" s="27"/>
      <c r="C17" s="27"/>
      <c r="D17" s="27"/>
      <c r="E17" s="27"/>
      <c r="F17" s="27"/>
      <c r="G17" s="27"/>
      <c r="H17" s="27"/>
      <c r="I17" s="24"/>
      <c r="J17" s="17"/>
    </row>
    <row r="18" spans="1:10">
      <c r="A18" s="32"/>
      <c r="B18" s="27"/>
      <c r="C18" s="27"/>
      <c r="D18" s="27"/>
      <c r="E18" s="27"/>
      <c r="F18" s="27"/>
      <c r="G18" s="27"/>
      <c r="H18" s="27"/>
      <c r="I18" s="24"/>
      <c r="J18" s="17"/>
    </row>
    <row r="19" spans="1:10">
      <c r="A19" s="32"/>
      <c r="B19" s="27"/>
      <c r="C19" s="27"/>
      <c r="D19" s="27"/>
      <c r="E19" s="27"/>
      <c r="F19" s="27"/>
      <c r="G19" s="27"/>
      <c r="H19" s="27"/>
      <c r="I19" s="24"/>
      <c r="J19" s="17"/>
    </row>
    <row r="20" spans="1:10">
      <c r="A20" s="32"/>
      <c r="B20" s="27"/>
      <c r="C20" s="27"/>
      <c r="D20" s="27"/>
      <c r="E20" s="27"/>
      <c r="F20" s="27"/>
      <c r="G20" s="27"/>
      <c r="H20" s="27"/>
      <c r="I20" s="24"/>
      <c r="J20" s="17"/>
    </row>
    <row r="21" spans="1:10">
      <c r="A21" s="32"/>
      <c r="B21" s="27"/>
      <c r="C21" s="27"/>
      <c r="D21" s="27"/>
      <c r="E21" s="27"/>
      <c r="F21" s="27"/>
      <c r="G21" s="27"/>
      <c r="H21" s="27"/>
      <c r="I21" s="24"/>
      <c r="J21" s="17"/>
    </row>
    <row r="22" spans="1:10">
      <c r="A22" s="32"/>
      <c r="B22" s="27"/>
      <c r="C22" s="27"/>
      <c r="D22" s="27"/>
      <c r="E22" s="27"/>
      <c r="F22" s="27"/>
      <c r="G22" s="27"/>
      <c r="H22" s="27"/>
      <c r="I22" s="24"/>
      <c r="J22" s="17"/>
    </row>
    <row r="23" spans="1:10">
      <c r="A23" s="32"/>
      <c r="B23" s="27"/>
      <c r="C23" s="30"/>
      <c r="D23" s="30"/>
      <c r="E23" s="30"/>
      <c r="F23" s="27"/>
      <c r="G23" s="30"/>
      <c r="H23" s="27"/>
      <c r="I23" s="24"/>
    </row>
    <row r="24" spans="1:10">
      <c r="A24" s="32"/>
      <c r="B24" s="27"/>
      <c r="C24" s="30"/>
      <c r="D24" s="111"/>
      <c r="E24" s="111"/>
      <c r="F24" s="27"/>
      <c r="G24" s="30"/>
      <c r="H24" s="27"/>
      <c r="I24" s="24"/>
    </row>
    <row r="25" spans="1:10">
      <c r="A25" s="32"/>
      <c r="B25" s="27"/>
      <c r="C25" s="27"/>
      <c r="D25" s="27"/>
      <c r="E25" s="27"/>
      <c r="F25" s="27"/>
      <c r="G25" s="27"/>
      <c r="H25" s="27"/>
      <c r="I25" s="24"/>
    </row>
    <row r="26" spans="1:10">
      <c r="A26" s="32"/>
      <c r="B26" s="27"/>
      <c r="C26" s="27"/>
      <c r="D26" s="27"/>
      <c r="E26" s="27"/>
      <c r="F26" s="27"/>
      <c r="G26" s="27"/>
      <c r="H26" s="27"/>
      <c r="I26" s="24"/>
    </row>
    <row r="27" spans="1:10" s="34" customFormat="1">
      <c r="A27" s="32"/>
      <c r="B27" s="27"/>
      <c r="C27" s="27"/>
      <c r="D27" s="27"/>
      <c r="E27" s="27"/>
      <c r="F27" s="27"/>
      <c r="G27" s="27"/>
      <c r="H27" s="27"/>
      <c r="I27" s="24"/>
    </row>
    <row r="28" spans="1:10">
      <c r="A28" s="32"/>
      <c r="B28" s="27"/>
      <c r="C28" s="27"/>
      <c r="D28" s="27"/>
      <c r="E28" s="27"/>
      <c r="F28" s="27"/>
      <c r="G28" s="27"/>
      <c r="H28" s="27"/>
      <c r="I28" s="24"/>
      <c r="J28" s="17"/>
    </row>
    <row r="29" spans="1:10">
      <c r="A29" s="32"/>
      <c r="B29" s="27"/>
      <c r="C29" s="27"/>
      <c r="D29" s="27"/>
      <c r="E29" s="27"/>
      <c r="F29" s="27"/>
      <c r="G29" s="27"/>
      <c r="H29" s="27"/>
      <c r="I29" s="24"/>
      <c r="J29" s="17"/>
    </row>
    <row r="30" spans="1:10">
      <c r="A30" s="32"/>
      <c r="B30" s="27"/>
      <c r="C30" s="27"/>
      <c r="D30" s="27"/>
      <c r="E30" s="27"/>
      <c r="F30" s="27"/>
      <c r="G30" s="27"/>
      <c r="H30" s="27"/>
      <c r="I30" s="24"/>
      <c r="J30" s="17"/>
    </row>
    <row r="31" spans="1:10">
      <c r="A31" s="32"/>
      <c r="B31" s="27"/>
      <c r="C31" s="27"/>
      <c r="D31" s="27"/>
      <c r="E31" s="27"/>
      <c r="F31" s="27"/>
      <c r="G31" s="27"/>
      <c r="H31" s="27"/>
      <c r="I31" s="24"/>
      <c r="J31" s="17"/>
    </row>
    <row r="32" spans="1:10">
      <c r="A32" s="32"/>
      <c r="B32" s="27"/>
      <c r="C32" s="27"/>
      <c r="D32" s="27"/>
      <c r="E32" s="27"/>
      <c r="F32" s="27"/>
      <c r="G32" s="27"/>
      <c r="H32" s="27"/>
      <c r="I32" s="24"/>
      <c r="J32" s="17"/>
    </row>
    <row r="33" spans="1:10" s="34" customFormat="1">
      <c r="A33" s="32"/>
      <c r="B33" s="27"/>
      <c r="C33" s="27"/>
      <c r="D33" s="27"/>
      <c r="E33" s="27"/>
      <c r="F33" s="27"/>
      <c r="G33" s="27"/>
      <c r="H33" s="27"/>
      <c r="I33" s="24"/>
      <c r="J33" s="77"/>
    </row>
    <row r="34" spans="1:10">
      <c r="A34" s="31" t="s">
        <v>166</v>
      </c>
      <c r="B34" s="131"/>
      <c r="C34" s="132"/>
      <c r="D34" s="13" t="s">
        <v>128</v>
      </c>
      <c r="E34" s="91" t="s">
        <v>120</v>
      </c>
      <c r="F34" s="92" t="s">
        <v>142</v>
      </c>
      <c r="G34" s="93">
        <v>2011</v>
      </c>
    </row>
  </sheetData>
  <mergeCells count="9">
    <mergeCell ref="B34:C34"/>
    <mergeCell ref="E8:F8"/>
    <mergeCell ref="D24:E24"/>
    <mergeCell ref="A8:C8"/>
    <mergeCell ref="A1:I1"/>
    <mergeCell ref="A9:C9"/>
    <mergeCell ref="D9:E9"/>
    <mergeCell ref="F9:G9"/>
    <mergeCell ref="H9:I9"/>
  </mergeCells>
  <dataValidations xWindow="1098" yWindow="424" count="4">
    <dataValidation type="list" allowBlank="1" showInputMessage="1" showErrorMessage="1" sqref="I7">
      <formula1>Units!$A$3:$A$200</formula1>
    </dataValidation>
    <dataValidation type="list" allowBlank="1" showInputMessage="1" showErrorMessage="1" sqref="E34">
      <formula1>Units!$C$3:$C$14</formula1>
    </dataValidation>
    <dataValidation type="list" allowBlank="1" showInputMessage="1" showErrorMessage="1" sqref="F34">
      <formula1>Units!$D$3:$D$33</formula1>
    </dataValidation>
    <dataValidation type="list" allowBlank="1" showInputMessage="1" showErrorMessage="1" sqref="G34">
      <formula1>Units!$E$3:$E$22</formula1>
    </dataValidation>
  </dataValidations>
  <printOptions horizontalCentered="1" verticalCentered="1"/>
  <pageMargins left="0.25" right="0.25" top="0.75" bottom="0.75" header="0.3" footer="0.3"/>
  <pageSetup scale="115" orientation="landscape" r:id="rId1"/>
  <headerFooter alignWithMargins="0"/>
  <customProperties>
    <customPr name="DVSECTION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/>
  <dimension ref="A1:E89"/>
  <sheetViews>
    <sheetView workbookViewId="0">
      <selection activeCell="A3" sqref="A3:A88"/>
    </sheetView>
  </sheetViews>
  <sheetFormatPr defaultColWidth="8.75" defaultRowHeight="15"/>
  <cols>
    <col min="1" max="1" width="20.25" style="95" bestFit="1" customWidth="1"/>
    <col min="2" max="2" width="17.625" style="3" customWidth="1"/>
    <col min="3" max="3" width="8.75" style="82"/>
    <col min="4" max="4" width="14.5" style="84" bestFit="1" customWidth="1"/>
    <col min="5" max="5" width="11.75" style="86" bestFit="1" customWidth="1"/>
    <col min="6" max="16384" width="8.75" style="3"/>
  </cols>
  <sheetData>
    <row r="1" spans="1:5" ht="15.6" customHeight="1">
      <c r="A1" s="94"/>
    </row>
    <row r="2" spans="1:5" s="4" customFormat="1">
      <c r="A2" s="95" t="s">
        <v>91</v>
      </c>
      <c r="C2" s="83" t="s">
        <v>125</v>
      </c>
      <c r="D2" s="85" t="s">
        <v>126</v>
      </c>
      <c r="E2" s="87" t="s">
        <v>127</v>
      </c>
    </row>
    <row r="3" spans="1:5">
      <c r="A3" s="5" t="s">
        <v>14</v>
      </c>
      <c r="B3" s="7"/>
      <c r="C3" s="82" t="s">
        <v>113</v>
      </c>
      <c r="D3" s="84" t="s">
        <v>129</v>
      </c>
      <c r="E3" s="86">
        <v>2011</v>
      </c>
    </row>
    <row r="4" spans="1:5">
      <c r="A4" s="5" t="s">
        <v>15</v>
      </c>
      <c r="C4" s="82" t="s">
        <v>114</v>
      </c>
      <c r="D4" s="84" t="s">
        <v>130</v>
      </c>
      <c r="E4" s="86">
        <v>2012</v>
      </c>
    </row>
    <row r="5" spans="1:5">
      <c r="A5" s="5" t="s">
        <v>52</v>
      </c>
      <c r="C5" s="82" t="s">
        <v>115</v>
      </c>
      <c r="D5" s="84" t="s">
        <v>131</v>
      </c>
      <c r="E5" s="86">
        <v>2013</v>
      </c>
    </row>
    <row r="6" spans="1:5">
      <c r="A6" s="2" t="s">
        <v>87</v>
      </c>
      <c r="C6" s="82" t="s">
        <v>116</v>
      </c>
      <c r="D6" s="84" t="s">
        <v>132</v>
      </c>
      <c r="E6" s="86">
        <v>2014</v>
      </c>
    </row>
    <row r="7" spans="1:5">
      <c r="A7" s="2" t="s">
        <v>59</v>
      </c>
      <c r="C7" s="82" t="s">
        <v>117</v>
      </c>
      <c r="D7" s="84" t="s">
        <v>133</v>
      </c>
      <c r="E7" s="86">
        <v>2015</v>
      </c>
    </row>
    <row r="8" spans="1:5">
      <c r="A8" s="2" t="s">
        <v>60</v>
      </c>
      <c r="C8" s="82" t="s">
        <v>118</v>
      </c>
      <c r="D8" s="84" t="s">
        <v>134</v>
      </c>
      <c r="E8" s="86">
        <v>2016</v>
      </c>
    </row>
    <row r="9" spans="1:5">
      <c r="A9" s="2" t="s">
        <v>61</v>
      </c>
      <c r="C9" s="82" t="s">
        <v>119</v>
      </c>
      <c r="D9" s="84" t="s">
        <v>135</v>
      </c>
      <c r="E9" s="86">
        <v>2017</v>
      </c>
    </row>
    <row r="10" spans="1:5">
      <c r="A10" s="2" t="s">
        <v>62</v>
      </c>
      <c r="C10" s="82" t="s">
        <v>120</v>
      </c>
      <c r="D10" s="84" t="s">
        <v>136</v>
      </c>
      <c r="E10" s="86">
        <v>2018</v>
      </c>
    </row>
    <row r="11" spans="1:5">
      <c r="A11" s="2" t="s">
        <v>83</v>
      </c>
      <c r="C11" s="82" t="s">
        <v>121</v>
      </c>
      <c r="D11" s="84" t="s">
        <v>137</v>
      </c>
      <c r="E11" s="86">
        <v>2019</v>
      </c>
    </row>
    <row r="12" spans="1:5">
      <c r="A12" s="2" t="s">
        <v>58</v>
      </c>
      <c r="C12" s="82" t="s">
        <v>122</v>
      </c>
      <c r="D12" s="84" t="s">
        <v>138</v>
      </c>
      <c r="E12" s="86">
        <v>2020</v>
      </c>
    </row>
    <row r="13" spans="1:5">
      <c r="A13" s="2" t="s">
        <v>84</v>
      </c>
      <c r="C13" s="82" t="s">
        <v>123</v>
      </c>
      <c r="D13" s="84" t="s">
        <v>139</v>
      </c>
      <c r="E13" s="86">
        <v>2021</v>
      </c>
    </row>
    <row r="14" spans="1:5">
      <c r="A14" s="5" t="s">
        <v>22</v>
      </c>
      <c r="C14" s="82" t="s">
        <v>124</v>
      </c>
      <c r="D14" s="84" t="s">
        <v>140</v>
      </c>
      <c r="E14" s="86">
        <v>2022</v>
      </c>
    </row>
    <row r="15" spans="1:5">
      <c r="A15" s="5" t="s">
        <v>26</v>
      </c>
      <c r="D15" s="84" t="s">
        <v>141</v>
      </c>
      <c r="E15" s="86">
        <v>2023</v>
      </c>
    </row>
    <row r="16" spans="1:5">
      <c r="A16" s="2" t="s">
        <v>35</v>
      </c>
      <c r="D16" s="84" t="s">
        <v>142</v>
      </c>
      <c r="E16" s="86">
        <v>2024</v>
      </c>
    </row>
    <row r="17" spans="1:5">
      <c r="A17" s="2" t="s">
        <v>36</v>
      </c>
      <c r="D17" s="84" t="s">
        <v>143</v>
      </c>
      <c r="E17" s="86">
        <v>2025</v>
      </c>
    </row>
    <row r="18" spans="1:5">
      <c r="A18" s="2" t="s">
        <v>37</v>
      </c>
      <c r="D18" s="84" t="s">
        <v>144</v>
      </c>
      <c r="E18" s="86">
        <v>2026</v>
      </c>
    </row>
    <row r="19" spans="1:5">
      <c r="A19" s="6" t="s">
        <v>29</v>
      </c>
      <c r="D19" s="84" t="s">
        <v>145</v>
      </c>
      <c r="E19" s="86">
        <v>2027</v>
      </c>
    </row>
    <row r="20" spans="1:5">
      <c r="A20" s="5" t="s">
        <v>33</v>
      </c>
      <c r="D20" s="84" t="s">
        <v>146</v>
      </c>
      <c r="E20" s="86">
        <v>2028</v>
      </c>
    </row>
    <row r="21" spans="1:5">
      <c r="A21" s="2" t="s">
        <v>38</v>
      </c>
      <c r="D21" s="84" t="s">
        <v>147</v>
      </c>
      <c r="E21" s="86">
        <v>2029</v>
      </c>
    </row>
    <row r="22" spans="1:5">
      <c r="A22" s="2" t="s">
        <v>39</v>
      </c>
      <c r="D22" s="84" t="s">
        <v>148</v>
      </c>
      <c r="E22" s="86">
        <v>2030</v>
      </c>
    </row>
    <row r="23" spans="1:5">
      <c r="A23" s="2" t="s">
        <v>63</v>
      </c>
      <c r="D23" s="84" t="s">
        <v>149</v>
      </c>
    </row>
    <row r="24" spans="1:5">
      <c r="A24" s="2" t="s">
        <v>64</v>
      </c>
      <c r="D24" s="84" t="s">
        <v>150</v>
      </c>
    </row>
    <row r="25" spans="1:5">
      <c r="A25" s="2" t="s">
        <v>65</v>
      </c>
      <c r="D25" s="84" t="s">
        <v>151</v>
      </c>
    </row>
    <row r="26" spans="1:5">
      <c r="A26" s="2" t="s">
        <v>66</v>
      </c>
      <c r="D26" s="84" t="s">
        <v>152</v>
      </c>
    </row>
    <row r="27" spans="1:5">
      <c r="A27" s="2" t="s">
        <v>40</v>
      </c>
      <c r="D27" s="84" t="s">
        <v>153</v>
      </c>
    </row>
    <row r="28" spans="1:5">
      <c r="A28" s="10" t="s">
        <v>172</v>
      </c>
      <c r="D28" s="84" t="s">
        <v>154</v>
      </c>
    </row>
    <row r="29" spans="1:5">
      <c r="A29" s="5" t="s">
        <v>19</v>
      </c>
      <c r="D29" s="84" t="s">
        <v>155</v>
      </c>
    </row>
    <row r="30" spans="1:5">
      <c r="A30" s="2" t="s">
        <v>86</v>
      </c>
      <c r="D30" s="84" t="s">
        <v>156</v>
      </c>
    </row>
    <row r="31" spans="1:5">
      <c r="A31" s="2" t="s">
        <v>85</v>
      </c>
      <c r="D31" s="84" t="s">
        <v>157</v>
      </c>
    </row>
    <row r="32" spans="1:5">
      <c r="A32" s="5" t="s">
        <v>24</v>
      </c>
      <c r="D32" s="84" t="s">
        <v>158</v>
      </c>
    </row>
    <row r="33" spans="1:4">
      <c r="A33" s="5" t="s">
        <v>27</v>
      </c>
      <c r="D33" s="84" t="s">
        <v>159</v>
      </c>
    </row>
    <row r="34" spans="1:4">
      <c r="A34" s="6" t="s">
        <v>31</v>
      </c>
    </row>
    <row r="35" spans="1:4">
      <c r="A35" s="5" t="s">
        <v>34</v>
      </c>
    </row>
    <row r="36" spans="1:4">
      <c r="A36" s="2" t="s">
        <v>41</v>
      </c>
    </row>
    <row r="37" spans="1:4">
      <c r="A37" s="2" t="s">
        <v>67</v>
      </c>
    </row>
    <row r="38" spans="1:4">
      <c r="A38" s="2" t="s">
        <v>68</v>
      </c>
    </row>
    <row r="39" spans="1:4">
      <c r="A39" s="2" t="s">
        <v>69</v>
      </c>
    </row>
    <row r="40" spans="1:4">
      <c r="A40" s="2" t="s">
        <v>70</v>
      </c>
    </row>
    <row r="41" spans="1:4">
      <c r="A41" s="10" t="s">
        <v>173</v>
      </c>
    </row>
    <row r="42" spans="1:4">
      <c r="A42" s="5" t="s">
        <v>112</v>
      </c>
    </row>
    <row r="43" spans="1:4">
      <c r="A43" s="2" t="s">
        <v>42</v>
      </c>
    </row>
    <row r="44" spans="1:4">
      <c r="A44" s="2" t="s">
        <v>55</v>
      </c>
    </row>
    <row r="45" spans="1:4">
      <c r="A45" s="2" t="s">
        <v>54</v>
      </c>
    </row>
    <row r="46" spans="1:4">
      <c r="A46" s="2" t="s">
        <v>53</v>
      </c>
    </row>
    <row r="47" spans="1:4">
      <c r="A47" s="2" t="s">
        <v>44</v>
      </c>
    </row>
    <row r="48" spans="1:4" ht="19.5">
      <c r="A48" s="2" t="s">
        <v>90</v>
      </c>
    </row>
    <row r="49" spans="1:1" ht="19.5">
      <c r="A49" s="2" t="s">
        <v>89</v>
      </c>
    </row>
    <row r="50" spans="1:1" ht="19.5">
      <c r="A50" s="2" t="s">
        <v>88</v>
      </c>
    </row>
    <row r="51" spans="1:1">
      <c r="A51" s="5" t="s">
        <v>17</v>
      </c>
    </row>
    <row r="52" spans="1:1">
      <c r="A52" s="2" t="s">
        <v>43</v>
      </c>
    </row>
    <row r="53" spans="1:1">
      <c r="A53" s="10" t="s">
        <v>174</v>
      </c>
    </row>
    <row r="54" spans="1:1">
      <c r="A54" s="2" t="s">
        <v>45</v>
      </c>
    </row>
    <row r="55" spans="1:1">
      <c r="A55" s="5" t="s">
        <v>23</v>
      </c>
    </row>
    <row r="56" spans="1:1">
      <c r="A56" s="2" t="s">
        <v>46</v>
      </c>
    </row>
    <row r="57" spans="1:1">
      <c r="A57" s="10" t="s">
        <v>171</v>
      </c>
    </row>
    <row r="58" spans="1:1">
      <c r="A58" s="2" t="s">
        <v>47</v>
      </c>
    </row>
    <row r="59" spans="1:1">
      <c r="A59" s="2" t="s">
        <v>71</v>
      </c>
    </row>
    <row r="60" spans="1:1">
      <c r="A60" s="2" t="s">
        <v>72</v>
      </c>
    </row>
    <row r="61" spans="1:1">
      <c r="A61" s="2" t="s">
        <v>73</v>
      </c>
    </row>
    <row r="62" spans="1:1">
      <c r="A62" s="2" t="s">
        <v>74</v>
      </c>
    </row>
    <row r="63" spans="1:1">
      <c r="A63" s="10" t="s">
        <v>169</v>
      </c>
    </row>
    <row r="64" spans="1:1">
      <c r="A64" s="5" t="s">
        <v>21</v>
      </c>
    </row>
    <row r="65" spans="1:1">
      <c r="A65" s="5" t="s">
        <v>25</v>
      </c>
    </row>
    <row r="66" spans="1:1">
      <c r="A66" s="5" t="s">
        <v>20</v>
      </c>
    </row>
    <row r="67" spans="1:1">
      <c r="A67" s="5" t="s">
        <v>32</v>
      </c>
    </row>
    <row r="68" spans="1:1">
      <c r="A68" s="10" t="s">
        <v>170</v>
      </c>
    </row>
    <row r="69" spans="1:1">
      <c r="A69" s="2" t="s">
        <v>48</v>
      </c>
    </row>
    <row r="70" spans="1:1">
      <c r="A70" s="2" t="s">
        <v>75</v>
      </c>
    </row>
    <row r="71" spans="1:1">
      <c r="A71" s="2" t="s">
        <v>76</v>
      </c>
    </row>
    <row r="72" spans="1:1">
      <c r="A72" s="2" t="s">
        <v>77</v>
      </c>
    </row>
    <row r="73" spans="1:1">
      <c r="A73" s="2" t="s">
        <v>78</v>
      </c>
    </row>
    <row r="74" spans="1:1">
      <c r="A74" s="5" t="s">
        <v>18</v>
      </c>
    </row>
    <row r="75" spans="1:1">
      <c r="A75" s="2" t="s">
        <v>49</v>
      </c>
    </row>
    <row r="76" spans="1:1">
      <c r="A76" s="2" t="s">
        <v>79</v>
      </c>
    </row>
    <row r="77" spans="1:1">
      <c r="A77" s="2" t="s">
        <v>80</v>
      </c>
    </row>
    <row r="78" spans="1:1">
      <c r="A78" s="2" t="s">
        <v>81</v>
      </c>
    </row>
    <row r="79" spans="1:1">
      <c r="A79" s="2" t="s">
        <v>82</v>
      </c>
    </row>
    <row r="80" spans="1:1">
      <c r="A80" s="5" t="s">
        <v>16</v>
      </c>
    </row>
    <row r="81" spans="1:1">
      <c r="A81" s="6" t="s">
        <v>30</v>
      </c>
    </row>
    <row r="82" spans="1:1">
      <c r="A82" s="2" t="s">
        <v>50</v>
      </c>
    </row>
    <row r="83" spans="1:1">
      <c r="A83" s="2" t="s">
        <v>51</v>
      </c>
    </row>
    <row r="84" spans="1:1">
      <c r="A84" s="5" t="s">
        <v>28</v>
      </c>
    </row>
    <row r="85" spans="1:1">
      <c r="A85" s="2" t="s">
        <v>56</v>
      </c>
    </row>
    <row r="86" spans="1:1">
      <c r="A86" s="2" t="s">
        <v>95</v>
      </c>
    </row>
    <row r="87" spans="1:1">
      <c r="A87" s="10" t="s">
        <v>57</v>
      </c>
    </row>
    <row r="88" spans="1:1">
      <c r="A88" s="10" t="s">
        <v>168</v>
      </c>
    </row>
    <row r="89" spans="1:1">
      <c r="A89" s="10"/>
    </row>
  </sheetData>
  <sortState ref="A3:A88">
    <sortCondition ref="A3"/>
  </sortState>
  <dataConsolidate/>
  <dataValidations xWindow="434" yWindow="297" count="1">
    <dataValidation allowBlank="1" showErrorMessage="1" sqref="B20 B16 B3:B4"/>
  </dataValidations>
  <pageMargins left="0.7" right="0.7" top="0.75" bottom="0.75" header="0.3" footer="0.3"/>
  <pageSetup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Title and Instructions</vt:lpstr>
      <vt:lpstr>4-20 mA</vt:lpstr>
      <vt:lpstr>1-5 Vdc</vt:lpstr>
      <vt:lpstr>3-15 PSI</vt:lpstr>
      <vt:lpstr>Units</vt:lpstr>
      <vt:lpstr>'1-5 Vdc'!Print_Area</vt:lpstr>
      <vt:lpstr>'3-15 PSI'!Print_Area</vt:lpstr>
      <vt:lpstr>'4-20 mA'!Print_Area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mweisner</cp:lastModifiedBy>
  <cp:lastPrinted>2011-08-14T20:05:19Z</cp:lastPrinted>
  <dcterms:created xsi:type="dcterms:W3CDTF">2011-07-24T01:12:56Z</dcterms:created>
  <dcterms:modified xsi:type="dcterms:W3CDTF">2011-08-15T10:27:34Z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DocumentId">
    <vt:lpwstr>1yysfl9-lbz0W7OOxgtlwOmgdf9rELW6R7SHxamEz78M</vt:lpwstr>
  </property>
  <property fmtid="{D5CDD505-2E9C-101B-9397-08002B2CF9AE}" pid="3" name="Google.Documents.RevisionId">
    <vt:lpwstr>14950746583873455218</vt:lpwstr>
  </property>
  <property fmtid="{D5CDD505-2E9C-101B-9397-08002B2CF9AE}" pid="4" name="Google.Documents.PreviousRevisionId">
    <vt:lpwstr>11472776619759225481</vt:lpwstr>
  </property>
  <property fmtid="{D5CDD505-2E9C-101B-9397-08002B2CF9AE}" pid="5" name="Google.Documents.PluginVersion">
    <vt:lpwstr>2.0.2154.5604</vt:lpwstr>
  </property>
  <property fmtid="{D5CDD505-2E9C-101B-9397-08002B2CF9AE}" pid="6" name="Google.Documents.MergeIncapabilityFlags">
    <vt:i4>0</vt:i4>
  </property>
  <property fmtid="{D5CDD505-2E9C-101B-9397-08002B2CF9AE}" pid="7" name="Google.Documents.Tracking">
    <vt:lpwstr>false</vt:lpwstr>
  </property>
</Properties>
</file>